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M:\6000 Rannsóknir og nýsköpun\3 - Örugg virðiskeðja matvæla\2342 - DiscardLess\WP5\"/>
    </mc:Choice>
  </mc:AlternateContent>
  <xr:revisionPtr revIDLastSave="0" documentId="10_ncr:100000_{F405930B-0E5E-44B2-95BD-CDE1569D28F7}" xr6:coauthVersionLast="31" xr6:coauthVersionMax="40" xr10:uidLastSave="{00000000-0000-0000-0000-000000000000}"/>
  <bookViews>
    <workbookView xWindow="0" yWindow="0" windowWidth="21576" windowHeight="9336" xr2:uid="{00000000-000D-0000-FFFF-FFFF00000000}"/>
  </bookViews>
  <sheets>
    <sheet name="Front" sheetId="1" r:id="rId1"/>
    <sheet name="Chemical content" sheetId="2" state="hidden" r:id="rId2"/>
    <sheet name="Handling" sheetId="6" state="hidden" r:id="rId3"/>
    <sheet name="landings.uuc.mcrs" sheetId="7" state="hidden" r:id="rId4"/>
    <sheet name="Processing" sheetId="10" state="hidden" r:id="rId5"/>
    <sheet name="pic" sheetId="9" state="hidden" r:id="rId6"/>
  </sheets>
  <definedNames>
    <definedName name="_1tuee74" localSheetId="1">'Chemical content'!$AJ$70</definedName>
    <definedName name="_2fk6b3p" localSheetId="1">'Chemical content'!$AJ$55</definedName>
    <definedName name="_3ep43zb" localSheetId="1">'Chemical content'!$AJ$66</definedName>
    <definedName name="_40ew0vw" localSheetId="1">'Chemical content'!$AJ$51</definedName>
    <definedName name="_4du1wux" localSheetId="1">'Chemical content'!$AJ$74</definedName>
    <definedName name="_upglbi" localSheetId="1">'Chemical content'!$AJ$60</definedName>
    <definedName name="batar">INDEX(pic!$E$6:$G$11,pic!$E$13,pic!$E$14)</definedName>
    <definedName name="handling">INDEX(pic!$E$6:$G$11,pic!$F$13,pic!$F$14)</definedName>
    <definedName name="process">INDEX(pic!$E$6:$G$11,pic!$G$13,pic!$G$14)</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9" i="10" l="1"/>
  <c r="Q26" i="10" l="1"/>
  <c r="B50" i="10" l="1"/>
  <c r="B49" i="10"/>
  <c r="B48" i="10"/>
  <c r="B47" i="10"/>
  <c r="B51" i="10" s="1"/>
  <c r="B38" i="10"/>
  <c r="B42" i="10" s="1"/>
  <c r="B26" i="10"/>
  <c r="B40" i="10" s="1"/>
  <c r="B43" i="10" l="1"/>
  <c r="B41" i="10"/>
  <c r="N60" i="10"/>
  <c r="E63" i="10"/>
  <c r="G37" i="10" l="1"/>
  <c r="F37" i="10"/>
  <c r="F39" i="10" s="1"/>
  <c r="H37" i="10"/>
  <c r="I37" i="10"/>
  <c r="J37" i="10"/>
  <c r="B53" i="10"/>
  <c r="B55" i="10" s="1"/>
  <c r="J50" i="10"/>
  <c r="H50" i="10"/>
  <c r="I50" i="10"/>
  <c r="C35" i="1"/>
  <c r="Q20" i="10"/>
  <c r="Q21" i="10"/>
  <c r="Q22" i="10"/>
  <c r="Q23" i="10"/>
  <c r="Q24" i="10"/>
  <c r="Q25" i="10"/>
  <c r="Q19" i="10"/>
  <c r="F50" i="10"/>
  <c r="G50" i="10"/>
  <c r="F61" i="10"/>
  <c r="G9" i="10"/>
  <c r="F9" i="10" s="1"/>
  <c r="E9" i="10" s="1"/>
  <c r="O46" i="10"/>
  <c r="F40" i="10" l="1"/>
  <c r="F41" i="10"/>
  <c r="F42" i="10"/>
  <c r="I40" i="10"/>
  <c r="I39" i="10"/>
  <c r="I42" i="10"/>
  <c r="I41" i="10"/>
  <c r="H39" i="10"/>
  <c r="H42" i="10"/>
  <c r="H41" i="10"/>
  <c r="H40" i="10"/>
  <c r="J41" i="10"/>
  <c r="J40" i="10"/>
  <c r="J39" i="10"/>
  <c r="J42" i="10"/>
  <c r="G42" i="10"/>
  <c r="G41" i="10"/>
  <c r="G39" i="10"/>
  <c r="G40" i="10"/>
  <c r="D10" i="10"/>
  <c r="D11" i="10"/>
  <c r="D12" i="10"/>
  <c r="D13" i="10"/>
  <c r="D8" i="10"/>
  <c r="Q10" i="7"/>
  <c r="P10" i="7"/>
  <c r="P14" i="6"/>
  <c r="M14" i="6"/>
  <c r="AE43" i="2"/>
  <c r="AE42" i="2"/>
  <c r="Q41" i="10" l="1"/>
  <c r="Q40" i="10"/>
  <c r="F43" i="10"/>
  <c r="Q42" i="10"/>
  <c r="Q43" i="10"/>
  <c r="H43" i="10"/>
  <c r="I43" i="10"/>
  <c r="J43" i="10"/>
  <c r="G43" i="10"/>
  <c r="P7" i="7"/>
  <c r="Q44" i="10" l="1"/>
  <c r="E13" i="9"/>
  <c r="E12" i="9" s="1"/>
  <c r="G13" i="9" l="1"/>
  <c r="G12" i="9" s="1"/>
  <c r="F13" i="9"/>
  <c r="F12" i="9" s="1"/>
  <c r="P8" i="7" l="1"/>
  <c r="P9" i="7"/>
  <c r="Q6" i="7"/>
  <c r="Q7" i="7"/>
  <c r="Q8" i="7"/>
  <c r="Q9" i="7"/>
  <c r="P6" i="7"/>
  <c r="E7" i="7"/>
  <c r="E8" i="7"/>
  <c r="E9" i="7"/>
  <c r="E10" i="7"/>
  <c r="E6" i="7"/>
  <c r="Z9" i="2"/>
  <c r="AB9" i="2"/>
  <c r="Z10" i="2"/>
  <c r="AB10" i="2"/>
  <c r="AB8" i="2"/>
  <c r="Z8" i="2"/>
  <c r="AF8" i="2" l="1"/>
  <c r="AF9" i="2"/>
  <c r="AF10" i="2"/>
  <c r="AC9" i="2"/>
  <c r="AD9" i="2" s="1"/>
  <c r="AC10" i="2"/>
  <c r="AC8" i="2"/>
  <c r="AD10" i="2" l="1"/>
  <c r="AD8" i="2"/>
  <c r="H46" i="1"/>
  <c r="P11" i="6" l="1"/>
  <c r="P12" i="6"/>
  <c r="P13" i="6"/>
  <c r="P10" i="6"/>
  <c r="M11" i="6"/>
  <c r="M12" i="6"/>
  <c r="M13" i="6"/>
  <c r="M10" i="6"/>
  <c r="P53" i="2"/>
  <c r="Y53" i="2" s="1"/>
  <c r="AH53" i="2" s="1"/>
  <c r="P52" i="2"/>
  <c r="Y52" i="2" s="1"/>
  <c r="AH52" i="2" s="1"/>
  <c r="P51" i="2"/>
  <c r="Y51" i="2" s="1"/>
  <c r="AH51" i="2" s="1"/>
  <c r="P50" i="2"/>
  <c r="Y50" i="2" s="1"/>
  <c r="AH50" i="2" s="1"/>
  <c r="M21" i="2"/>
  <c r="M22" i="2"/>
  <c r="M17" i="2" s="1"/>
  <c r="M20" i="2"/>
  <c r="H38" i="1" s="1"/>
  <c r="F56" i="2" l="1"/>
  <c r="G56" i="2" s="1"/>
  <c r="I56" i="2" s="1"/>
  <c r="M15" i="2"/>
  <c r="O17" i="2"/>
  <c r="P17" i="2"/>
  <c r="Q17" i="2"/>
  <c r="R17" i="2"/>
  <c r="M16" i="2"/>
  <c r="D38" i="1"/>
  <c r="L15" i="7"/>
  <c r="H49" i="1" s="1"/>
  <c r="E34" i="1"/>
  <c r="F58" i="2"/>
  <c r="G58" i="2" s="1"/>
  <c r="I58" i="2" s="1"/>
  <c r="O22" i="2"/>
  <c r="AE21" i="2"/>
  <c r="AE29" i="2" s="1"/>
  <c r="AE37" i="2" s="1"/>
  <c r="F57" i="2"/>
  <c r="G57" i="2" s="1"/>
  <c r="R22" i="2"/>
  <c r="AA22" i="2" s="1"/>
  <c r="AE22" i="2"/>
  <c r="V22" i="2"/>
  <c r="P20" i="2"/>
  <c r="Y20" i="2" s="1"/>
  <c r="AE20" i="2"/>
  <c r="V20" i="2"/>
  <c r="Q21" i="2"/>
  <c r="V21" i="2"/>
  <c r="E32" i="1"/>
  <c r="P21" i="2"/>
  <c r="O20" i="2"/>
  <c r="X20" i="2" s="1"/>
  <c r="R20" i="2"/>
  <c r="AA20" i="2" s="1"/>
  <c r="O21" i="2"/>
  <c r="M28" i="2"/>
  <c r="V28" i="2" s="1"/>
  <c r="R21" i="2"/>
  <c r="Q20" i="2"/>
  <c r="Z20" i="2" s="1"/>
  <c r="Q22" i="2"/>
  <c r="Z22" i="2" s="1"/>
  <c r="P22" i="2"/>
  <c r="Y22" i="2" s="1"/>
  <c r="M29" i="2"/>
  <c r="M30" i="2"/>
  <c r="V30" i="2" s="1"/>
  <c r="H56" i="2" l="1"/>
  <c r="AJ21" i="2"/>
  <c r="AA21" i="2"/>
  <c r="AI21" i="2"/>
  <c r="Z21" i="2"/>
  <c r="AG21" i="2"/>
  <c r="X21" i="2"/>
  <c r="AH21" i="2"/>
  <c r="Y21" i="2"/>
  <c r="O15" i="2"/>
  <c r="Q15" i="2"/>
  <c r="R15" i="2"/>
  <c r="P15" i="2"/>
  <c r="R16" i="2"/>
  <c r="O16" i="2"/>
  <c r="P16" i="2"/>
  <c r="Q16" i="2"/>
  <c r="AI20" i="2"/>
  <c r="AJ20" i="2"/>
  <c r="AH20" i="2"/>
  <c r="AG20" i="2"/>
  <c r="X22" i="2"/>
  <c r="H58" i="2"/>
  <c r="H57" i="2"/>
  <c r="I57" i="2"/>
  <c r="I59" i="2" s="1"/>
  <c r="AE28" i="2"/>
  <c r="AE36" i="2" s="1"/>
  <c r="AE44" i="2" s="1"/>
  <c r="AE30" i="2"/>
  <c r="AE38" i="2" s="1"/>
  <c r="V29" i="2"/>
  <c r="Q29" i="2"/>
  <c r="AI29" i="2" s="1"/>
  <c r="P29" i="2"/>
  <c r="AH29" i="2" s="1"/>
  <c r="R29" i="2"/>
  <c r="AJ29" i="2" s="1"/>
  <c r="O29" i="2"/>
  <c r="AG29" i="2" s="1"/>
  <c r="R30" i="2"/>
  <c r="P30" i="2"/>
  <c r="Q30" i="2"/>
  <c r="O30" i="2"/>
  <c r="M36" i="2"/>
  <c r="P28" i="2"/>
  <c r="AH28" i="2" s="1"/>
  <c r="R28" i="2"/>
  <c r="AJ28" i="2" s="1"/>
  <c r="Q28" i="2"/>
  <c r="AI28" i="2" s="1"/>
  <c r="O28" i="2"/>
  <c r="AG28" i="2" s="1"/>
  <c r="M38" i="2"/>
  <c r="M37" i="2"/>
  <c r="M43" i="2" s="1"/>
  <c r="V38" i="2" l="1"/>
  <c r="V44" i="2" s="1"/>
  <c r="M44" i="2"/>
  <c r="V36" i="2"/>
  <c r="V42" i="2" s="1"/>
  <c r="M42" i="2"/>
  <c r="Q43" i="2"/>
  <c r="R43" i="2"/>
  <c r="P43" i="2"/>
  <c r="O43" i="2"/>
  <c r="AA28" i="2"/>
  <c r="Y28" i="2"/>
  <c r="Y30" i="2"/>
  <c r="X28" i="2"/>
  <c r="AA30" i="2"/>
  <c r="Y29" i="2"/>
  <c r="Z29" i="2"/>
  <c r="Z30" i="2"/>
  <c r="Z28" i="2"/>
  <c r="X30" i="2"/>
  <c r="X29" i="2"/>
  <c r="AA29" i="2"/>
  <c r="H59" i="2"/>
  <c r="H45" i="1" s="1"/>
  <c r="V37" i="2"/>
  <c r="P37" i="2"/>
  <c r="AH37" i="2" s="1"/>
  <c r="Q37" i="2"/>
  <c r="AI37" i="2" s="1"/>
  <c r="R37" i="2"/>
  <c r="AJ37" i="2" s="1"/>
  <c r="O37" i="2"/>
  <c r="AG37" i="2" s="1"/>
  <c r="P38" i="2"/>
  <c r="R38" i="2"/>
  <c r="O38" i="2"/>
  <c r="Q38" i="2"/>
  <c r="P36" i="2"/>
  <c r="R36" i="2"/>
  <c r="AJ36" i="2" s="1"/>
  <c r="O36" i="2"/>
  <c r="AG36" i="2" s="1"/>
  <c r="Q36" i="2"/>
  <c r="AI36" i="2" s="1"/>
  <c r="AH36" i="2" l="1"/>
  <c r="P42" i="2"/>
  <c r="Q42" i="2"/>
  <c r="O42" i="2"/>
  <c r="R42" i="2"/>
  <c r="P44" i="2"/>
  <c r="Y44" i="2" s="1"/>
  <c r="Q44" i="2"/>
  <c r="Z44" i="2" s="1"/>
  <c r="R44" i="2"/>
  <c r="AA44" i="2" s="1"/>
  <c r="O44" i="2"/>
  <c r="X44" i="2" s="1"/>
  <c r="AH43" i="2"/>
  <c r="Y43" i="2"/>
  <c r="AJ43" i="2"/>
  <c r="AA43" i="2"/>
  <c r="X43" i="2"/>
  <c r="AG43" i="2"/>
  <c r="AI43" i="2"/>
  <c r="Z43" i="2"/>
  <c r="Z38" i="2"/>
  <c r="X36" i="2"/>
  <c r="X38" i="2"/>
  <c r="AA37" i="2"/>
  <c r="Y36" i="2"/>
  <c r="Y38" i="2"/>
  <c r="Y37" i="2"/>
  <c r="Z36" i="2"/>
  <c r="X37" i="2"/>
  <c r="AA36" i="2"/>
  <c r="AA38" i="2"/>
  <c r="Z37" i="2"/>
  <c r="V43" i="2"/>
  <c r="P45" i="2" l="1"/>
  <c r="O45" i="2"/>
  <c r="Q45" i="2"/>
  <c r="R45" i="2"/>
  <c r="AA42" i="2"/>
  <c r="AJ42" i="2"/>
  <c r="X42" i="2"/>
  <c r="X45" i="2" s="1"/>
  <c r="AG42" i="2"/>
  <c r="AG45" i="2" s="1"/>
  <c r="Z42" i="2"/>
  <c r="AI42" i="2"/>
  <c r="Y42" i="2"/>
  <c r="AH42" i="2"/>
  <c r="S45" i="2" l="1"/>
  <c r="R48" i="2" s="1"/>
  <c r="AH45" i="2"/>
  <c r="Y45" i="2"/>
  <c r="AI45" i="2"/>
  <c r="Z45" i="2"/>
  <c r="AJ45" i="2"/>
  <c r="AA45" i="2"/>
  <c r="R53" i="2" l="1"/>
  <c r="T45" i="2"/>
  <c r="O20" i="1" s="1"/>
  <c r="R52" i="2"/>
  <c r="R51" i="2"/>
  <c r="R50" i="2"/>
  <c r="AB45" i="2"/>
  <c r="AK45" i="2"/>
  <c r="AJ48" i="2" l="1"/>
  <c r="AJ50" i="2"/>
  <c r="AJ51" i="2"/>
  <c r="AA53" i="2"/>
  <c r="AA50" i="2"/>
  <c r="AJ53" i="2"/>
  <c r="AA52" i="2"/>
  <c r="AJ52" i="2"/>
  <c r="AA51" i="2"/>
  <c r="I11" i="10" s="1"/>
  <c r="AA48" i="2"/>
  <c r="I10" i="10" l="1"/>
  <c r="I12" i="10"/>
  <c r="I8" i="10"/>
  <c r="I13" i="10"/>
  <c r="J11" i="10"/>
  <c r="H11" i="10"/>
  <c r="G11" i="10" s="1"/>
  <c r="F11" i="10" s="1"/>
  <c r="E11" i="10" s="1"/>
  <c r="I27" i="10" l="1"/>
  <c r="H13" i="10"/>
  <c r="G13" i="10" s="1"/>
  <c r="F13" i="10" s="1"/>
  <c r="E13" i="10" s="1"/>
  <c r="J13" i="10"/>
  <c r="H12" i="10"/>
  <c r="G12" i="10" s="1"/>
  <c r="F12" i="10" s="1"/>
  <c r="E12" i="10" s="1"/>
  <c r="J12" i="10"/>
  <c r="H8" i="10"/>
  <c r="J8" i="10"/>
  <c r="H10" i="10"/>
  <c r="G10" i="10" s="1"/>
  <c r="F10" i="10" s="1"/>
  <c r="E10" i="10" s="1"/>
  <c r="J10" i="10"/>
  <c r="H27" i="10" l="1"/>
  <c r="J27" i="10"/>
  <c r="G8" i="10"/>
  <c r="G29" i="10" s="1"/>
  <c r="I18" i="10"/>
  <c r="I29" i="10" l="1"/>
  <c r="I20" i="10"/>
  <c r="G27" i="10"/>
  <c r="Q29" i="10" s="1"/>
  <c r="J18" i="10"/>
  <c r="H18" i="10"/>
  <c r="I16" i="10"/>
  <c r="I24" i="10"/>
  <c r="J24" i="10" s="1"/>
  <c r="F8" i="10"/>
  <c r="G18" i="10"/>
  <c r="F29" i="10" l="1"/>
  <c r="F31" i="10"/>
  <c r="F32" i="10" s="1"/>
  <c r="F28" i="10"/>
  <c r="H28" i="10"/>
  <c r="H29" i="10"/>
  <c r="H31" i="10"/>
  <c r="H32" i="10" s="1"/>
  <c r="I31" i="10"/>
  <c r="I32" i="10" s="1"/>
  <c r="J31" i="10"/>
  <c r="J32" i="10" s="1"/>
  <c r="J29" i="10"/>
  <c r="I28" i="10"/>
  <c r="J28" i="10"/>
  <c r="G24" i="10"/>
  <c r="G28" i="10" s="1"/>
  <c r="G20" i="10"/>
  <c r="G22" i="10" s="1"/>
  <c r="I26" i="10"/>
  <c r="E8" i="10"/>
  <c r="F26" i="10"/>
  <c r="F30" i="10" s="1"/>
  <c r="F33" i="10" s="1"/>
  <c r="I22" i="10"/>
  <c r="J20" i="10"/>
  <c r="J22" i="10" s="1"/>
  <c r="H20" i="10"/>
  <c r="H22" i="10" s="1"/>
  <c r="H16" i="10"/>
  <c r="J16" i="10"/>
  <c r="Q30" i="10" l="1"/>
  <c r="G31" i="10"/>
  <c r="G32" i="10" s="1"/>
  <c r="I30" i="10"/>
  <c r="H26" i="10"/>
  <c r="H30" i="10" s="1"/>
  <c r="H34" i="10" s="1"/>
  <c r="H35" i="10" s="1"/>
  <c r="H45" i="10" s="1"/>
  <c r="H47" i="10" s="1"/>
  <c r="H51" i="10" s="1"/>
  <c r="J26" i="10"/>
  <c r="J30" i="10" s="1"/>
  <c r="J34" i="10" s="1"/>
  <c r="J35" i="10" s="1"/>
  <c r="J45" i="10" s="1"/>
  <c r="J47" i="10" s="1"/>
  <c r="J51" i="10" s="1"/>
  <c r="G26" i="10"/>
  <c r="Q27" i="10" s="1"/>
  <c r="F34" i="10" l="1"/>
  <c r="F35" i="10" s="1"/>
  <c r="I34" i="10"/>
  <c r="I35" i="10" s="1"/>
  <c r="I45" i="10" s="1"/>
  <c r="I47" i="10" s="1"/>
  <c r="I51" i="10" s="1"/>
  <c r="G30" i="10"/>
  <c r="F45" i="10" l="1"/>
  <c r="F47" i="10" s="1"/>
  <c r="F51" i="10" s="1"/>
  <c r="Q33" i="10"/>
  <c r="G34" i="10" l="1"/>
  <c r="Q38" i="10" s="1"/>
  <c r="Q34" i="10"/>
  <c r="G35" i="10" l="1"/>
  <c r="Q35" i="10"/>
  <c r="G45" i="10" l="1"/>
  <c r="Q46" i="10" s="1"/>
  <c r="Q36" i="10"/>
  <c r="G47" i="10" l="1"/>
  <c r="G51" i="10" l="1"/>
  <c r="F52" i="10" s="1"/>
  <c r="E49" i="1" s="1"/>
  <c r="Q48" i="10"/>
  <c r="E39" i="1" l="1"/>
  <c r="E50" i="1"/>
  <c r="E54" i="1" s="1"/>
  <c r="E53" i="1"/>
</calcChain>
</file>

<file path=xl/sharedStrings.xml><?xml version="1.0" encoding="utf-8"?>
<sst xmlns="http://schemas.openxmlformats.org/spreadsheetml/2006/main" count="270" uniqueCount="116">
  <si>
    <t>Fleet segment</t>
  </si>
  <si>
    <t>MCRS catches</t>
  </si>
  <si>
    <t>Species not subjected to catch limits</t>
  </si>
  <si>
    <t>Viscera &amp; offal from target species</t>
  </si>
  <si>
    <t>Nr.</t>
  </si>
  <si>
    <t>None</t>
  </si>
  <si>
    <t>10-15 meter hook &amp; line coastal vessels (N-Atlantic)</t>
  </si>
  <si>
    <t xml:space="preserve">18-30 meter North Sea Danish seine/bottom trawler </t>
  </si>
  <si>
    <t>34-44 meter Bay of Biscay bottom trawler</t>
  </si>
  <si>
    <t>40-60 meter N-Atlantic (UK) fresh fish bottom trawler</t>
  </si>
  <si>
    <t>Moisture (%)</t>
  </si>
  <si>
    <t>Protein (%)</t>
  </si>
  <si>
    <t>Fat         (%)</t>
  </si>
  <si>
    <t>Minerals &amp; other (%)</t>
  </si>
  <si>
    <t>Viscera &amp; offal</t>
  </si>
  <si>
    <t>ton</t>
  </si>
  <si>
    <t>Moisture</t>
  </si>
  <si>
    <t>Protein</t>
  </si>
  <si>
    <t xml:space="preserve">Fat       </t>
  </si>
  <si>
    <t>Minerals &amp; other</t>
  </si>
  <si>
    <t>Volume</t>
  </si>
  <si>
    <t>Minerals</t>
  </si>
  <si>
    <t>Fishmeal</t>
  </si>
  <si>
    <t>EUR</t>
  </si>
  <si>
    <t>EUR/ton protein</t>
  </si>
  <si>
    <t>Total cost</t>
  </si>
  <si>
    <t>Improved handling</t>
  </si>
  <si>
    <t>New production line</t>
  </si>
  <si>
    <t>processing</t>
  </si>
  <si>
    <t>No.</t>
  </si>
  <si>
    <t>Investment cost</t>
  </si>
  <si>
    <t>Ath sama og UK</t>
  </si>
  <si>
    <t>BOB</t>
  </si>
  <si>
    <t>Cost items</t>
  </si>
  <si>
    <t>Conveyor belts and tables</t>
  </si>
  <si>
    <t>Bleeding tank</t>
  </si>
  <si>
    <t>Pre-cooling tank</t>
  </si>
  <si>
    <t>Slurry ice machine</t>
  </si>
  <si>
    <t>Reservoir tank</t>
  </si>
  <si>
    <t>Hoses, fittings, boxes and other miscellaneous</t>
  </si>
  <si>
    <t>Instillation (3 persons for a week)</t>
  </si>
  <si>
    <t>Annual added value</t>
  </si>
  <si>
    <t>Added value</t>
  </si>
  <si>
    <t>Total</t>
  </si>
  <si>
    <t>Fat</t>
  </si>
  <si>
    <t>tons</t>
  </si>
  <si>
    <t>UUC</t>
  </si>
  <si>
    <t>Landing</t>
  </si>
  <si>
    <t>Yes</t>
  </si>
  <si>
    <t>No</t>
  </si>
  <si>
    <t>vs</t>
  </si>
  <si>
    <t>MCRS</t>
  </si>
  <si>
    <t>Viscerea offal</t>
  </si>
  <si>
    <t>Land traditionally</t>
  </si>
  <si>
    <t>Land</t>
  </si>
  <si>
    <t>EUR/kg</t>
  </si>
  <si>
    <t>EUR/ton</t>
  </si>
  <si>
    <t>Discardless calculator</t>
  </si>
  <si>
    <t>1. Fleet segment</t>
  </si>
  <si>
    <t>2. By-products</t>
  </si>
  <si>
    <t>3. Improve the handling</t>
  </si>
  <si>
    <t>4. Processing</t>
  </si>
  <si>
    <t>5. Landings</t>
  </si>
  <si>
    <t>batar</t>
  </si>
  <si>
    <t>handling</t>
  </si>
  <si>
    <t>process</t>
  </si>
  <si>
    <t>Athugasemdagluggi</t>
  </si>
  <si>
    <t>mcrs</t>
  </si>
  <si>
    <t>viscera offal</t>
  </si>
  <si>
    <t>innslattur</t>
  </si>
  <si>
    <t>The chemical composition of the bycatch</t>
  </si>
  <si>
    <t>Price</t>
  </si>
  <si>
    <t>Annual added landing value</t>
  </si>
  <si>
    <t>Annual volume (ton)</t>
  </si>
  <si>
    <t>60-150 meter N-Atlantic (UK) Large factory trawler</t>
  </si>
  <si>
    <t>On-board production</t>
  </si>
  <si>
    <t xml:space="preserve">Fishmeal - Low degree </t>
  </si>
  <si>
    <t>Fishmeal - High degree</t>
  </si>
  <si>
    <t xml:space="preserve">Fishmeal - Hybrid degree </t>
  </si>
  <si>
    <t>Processing</t>
  </si>
  <si>
    <t>Fishmeal production</t>
  </si>
  <si>
    <t>Low degree</t>
  </si>
  <si>
    <t>High degree</t>
  </si>
  <si>
    <t>Hybrid</t>
  </si>
  <si>
    <t>Volume moisture</t>
  </si>
  <si>
    <t>Fish oil</t>
  </si>
  <si>
    <t>EUR/ton fishemal 65% protein</t>
  </si>
  <si>
    <t>EUR/ton lýsi</t>
  </si>
  <si>
    <t>Revenue</t>
  </si>
  <si>
    <t>Silage pre</t>
  </si>
  <si>
    <t>Full silage</t>
  </si>
  <si>
    <t>Investmentcost</t>
  </si>
  <si>
    <t>Ivestment cost</t>
  </si>
  <si>
    <t>Full silage production</t>
  </si>
  <si>
    <t xml:space="preserve">Volume </t>
  </si>
  <si>
    <t>% fixed cost of profit</t>
  </si>
  <si>
    <t>Energy cost</t>
  </si>
  <si>
    <t>Chemical cost</t>
  </si>
  <si>
    <t>Labor Cost</t>
  </si>
  <si>
    <t>Other costs</t>
  </si>
  <si>
    <t>Variable cost</t>
  </si>
  <si>
    <t>Contribution margin</t>
  </si>
  <si>
    <t>Loan payment</t>
  </si>
  <si>
    <t>Insurance</t>
  </si>
  <si>
    <t>Repairs</t>
  </si>
  <si>
    <t>Depreciation</t>
  </si>
  <si>
    <t>Fixed cost</t>
  </si>
  <si>
    <t>Tax (20%)</t>
  </si>
  <si>
    <t>Profit/Loss</t>
  </si>
  <si>
    <t>Silage preservation</t>
  </si>
  <si>
    <t>Value</t>
  </si>
  <si>
    <t>Annual profit/loss margin</t>
  </si>
  <si>
    <t>Total investment cost</t>
  </si>
  <si>
    <t>Transportation</t>
  </si>
  <si>
    <t>Packaging cost</t>
  </si>
  <si>
    <t>Added value and profit/loss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</si>
</sst>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 [$EUR]"/>
    <numFmt numFmtId="166" formatCode="[$€-2]\ #,##0"/>
    <numFmt numFmtId="167" formatCode="&quot;$&quot;#,##0"/>
  </numFmts>
  <fonts count="1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8"/>
      <color theme="1"/>
      <name val="Calibri"/>
      <family val="2"/>
      <scheme val="minor"/>
    </font>
    <font>
      <b/>
      <sz val="10"/>
      <name val="Arial"/>
      <family val="2"/>
    </font>
    <font>
      <sz val="12"/>
      <color theme="8"/>
      <name val="Calibri"/>
      <family val="2"/>
      <scheme val="minor"/>
    </font>
    <font>
      <sz val="12"/>
      <color theme="1"/>
      <name val="Calibri"/>
      <family val="2"/>
      <scheme val="minor"/>
    </font>
    <font>
      <sz val="12"/>
      <color rgb="FFFF0000"/>
      <name val="Calibri"/>
      <family val="2"/>
      <scheme val="minor"/>
    </font>
    <font>
      <b/>
      <sz val="16"/>
      <color theme="8"/>
      <name val="Calibri"/>
      <family val="2"/>
      <scheme val="minor"/>
    </font>
    <font>
      <b/>
      <sz val="16"/>
      <color rgb="FFFF0000"/>
      <name val="Calibri"/>
      <family val="2"/>
      <scheme val="minor"/>
    </font>
    <font>
      <b/>
      <sz val="36"/>
      <color theme="1"/>
      <name val="Calibri"/>
      <family val="2"/>
      <scheme val="minor"/>
    </font>
    <font>
      <sz val="8"/>
      <color rgb="FF000000"/>
      <name val="Segoe UI"/>
      <family val="2"/>
    </font>
    <font>
      <b/>
      <sz val="24"/>
      <color theme="1"/>
      <name val="Calibri"/>
      <family val="2"/>
      <scheme val="minor"/>
    </font>
    <font>
      <sz val="16"/>
      <color theme="8"/>
      <name val="Calibri Light"/>
      <family val="2"/>
    </font>
    <font>
      <sz val="11"/>
      <color theme="1"/>
      <name val="Calibri Light"/>
      <family val="2"/>
    </font>
    <font>
      <b/>
      <sz val="11"/>
      <name val="Calibri"/>
      <family val="2"/>
      <scheme val="minor"/>
    </font>
    <font>
      <sz val="10"/>
      <color rgb="FF4D4D4D"/>
      <name val="Arial"/>
      <family val="2"/>
    </font>
  </fonts>
  <fills count="7">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3"/>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2">
    <xf numFmtId="0" fontId="0" fillId="0" borderId="0"/>
    <xf numFmtId="9" fontId="1" fillId="0" borderId="0" applyFont="0" applyFill="0" applyBorder="0" applyAlignment="0" applyProtection="0"/>
  </cellStyleXfs>
  <cellXfs count="79">
    <xf numFmtId="0" fontId="0" fillId="0" borderId="0" xfId="0"/>
    <xf numFmtId="0" fontId="3" fillId="0" borderId="0" xfId="0" applyFont="1"/>
    <xf numFmtId="0" fontId="0" fillId="2" borderId="0" xfId="0" applyFill="1"/>
    <xf numFmtId="164" fontId="0" fillId="2" borderId="0" xfId="1" applyNumberFormat="1" applyFont="1" applyFill="1"/>
    <xf numFmtId="0" fontId="0" fillId="3" borderId="0" xfId="0" applyFill="1"/>
    <xf numFmtId="0" fontId="3" fillId="3" borderId="0" xfId="0" applyFont="1" applyFill="1"/>
    <xf numFmtId="0" fontId="3" fillId="3" borderId="0" xfId="0" applyFont="1" applyFill="1" applyAlignment="1">
      <alignment horizontal="center"/>
    </xf>
    <xf numFmtId="0" fontId="0" fillId="3" borderId="0" xfId="0" applyFill="1" applyAlignment="1">
      <alignment horizontal="center"/>
    </xf>
    <xf numFmtId="0" fontId="3" fillId="4" borderId="0" xfId="0" applyFont="1" applyFill="1"/>
    <xf numFmtId="0" fontId="0" fillId="4" borderId="0" xfId="0" applyFill="1"/>
    <xf numFmtId="0" fontId="0" fillId="4" borderId="0" xfId="0" applyFill="1" applyAlignment="1">
      <alignment horizontal="center"/>
    </xf>
    <xf numFmtId="0" fontId="2" fillId="0" borderId="0" xfId="0" applyFont="1"/>
    <xf numFmtId="0" fontId="4" fillId="0" borderId="0" xfId="0" applyFont="1" applyFill="1" applyBorder="1"/>
    <xf numFmtId="0" fontId="0" fillId="0" borderId="0" xfId="0" applyFill="1" applyBorder="1"/>
    <xf numFmtId="0" fontId="3" fillId="0" borderId="0" xfId="0" applyFont="1" applyFill="1" applyBorder="1"/>
    <xf numFmtId="0" fontId="2" fillId="0" borderId="0" xfId="0" applyFont="1" applyFill="1" applyBorder="1"/>
    <xf numFmtId="0" fontId="7" fillId="0" borderId="0" xfId="0" applyFont="1" applyFill="1" applyBorder="1"/>
    <xf numFmtId="0" fontId="8" fillId="0" borderId="0" xfId="0" applyFont="1" applyFill="1" applyBorder="1" applyAlignment="1">
      <alignment horizontal="center"/>
    </xf>
    <xf numFmtId="165" fontId="6" fillId="0" borderId="0" xfId="0" applyNumberFormat="1" applyFont="1" applyFill="1" applyBorder="1" applyAlignment="1">
      <alignment horizontal="center"/>
    </xf>
    <xf numFmtId="165" fontId="8" fillId="0" borderId="0" xfId="0" applyNumberFormat="1" applyFont="1" applyFill="1" applyBorder="1" applyAlignment="1">
      <alignment horizontal="center"/>
    </xf>
    <xf numFmtId="0" fontId="8" fillId="0" borderId="0" xfId="0" applyFont="1" applyFill="1" applyBorder="1" applyAlignment="1">
      <alignment horizontal="left"/>
    </xf>
    <xf numFmtId="165" fontId="10" fillId="0" borderId="0" xfId="0" applyNumberFormat="1" applyFont="1" applyFill="1" applyBorder="1" applyAlignment="1">
      <alignment horizontal="center"/>
    </xf>
    <xf numFmtId="0" fontId="2" fillId="3" borderId="0" xfId="0" applyFont="1" applyFill="1"/>
    <xf numFmtId="165" fontId="8" fillId="0" borderId="0" xfId="0" applyNumberFormat="1" applyFont="1" applyFill="1" applyBorder="1" applyAlignment="1"/>
    <xf numFmtId="0" fontId="11" fillId="0" borderId="0" xfId="0" applyFont="1"/>
    <xf numFmtId="164" fontId="0" fillId="0" borderId="0" xfId="1" applyNumberFormat="1" applyFont="1" applyFill="1"/>
    <xf numFmtId="165" fontId="9" fillId="0" borderId="0" xfId="0" applyNumberFormat="1" applyFont="1" applyFill="1" applyBorder="1" applyAlignment="1">
      <alignment horizontal="center"/>
    </xf>
    <xf numFmtId="0" fontId="13" fillId="0" borderId="0" xfId="0" applyFont="1" applyFill="1" applyBorder="1"/>
    <xf numFmtId="0" fontId="0" fillId="0" borderId="2" xfId="0" applyFill="1" applyBorder="1" applyAlignment="1">
      <alignment horizontal="center"/>
    </xf>
    <xf numFmtId="0" fontId="0" fillId="0" borderId="3" xfId="0" applyFill="1" applyBorder="1" applyAlignment="1">
      <alignment horizontal="center"/>
    </xf>
    <xf numFmtId="0" fontId="14" fillId="0" borderId="0" xfId="0" applyNumberFormat="1" applyFont="1" applyFill="1" applyBorder="1" applyAlignment="1"/>
    <xf numFmtId="0" fontId="15" fillId="0" borderId="0" xfId="0" applyFont="1" applyFill="1" applyBorder="1"/>
    <xf numFmtId="0" fontId="14" fillId="0" borderId="0" xfId="0" applyNumberFormat="1" applyFont="1" applyFill="1" applyBorder="1" applyAlignment="1">
      <alignment horizontal="right"/>
    </xf>
    <xf numFmtId="0" fontId="5" fillId="5" borderId="1" xfId="0" applyFont="1" applyFill="1" applyBorder="1"/>
    <xf numFmtId="0" fontId="5" fillId="5" borderId="1" xfId="0" applyFont="1" applyFill="1" applyBorder="1" applyAlignment="1">
      <alignment wrapText="1"/>
    </xf>
    <xf numFmtId="0" fontId="1" fillId="5" borderId="1" xfId="0" applyFont="1" applyFill="1" applyBorder="1" applyAlignment="1">
      <alignment horizontal="center"/>
    </xf>
    <xf numFmtId="0" fontId="0" fillId="0" borderId="1" xfId="0" applyBorder="1"/>
    <xf numFmtId="0" fontId="2" fillId="0" borderId="1" xfId="0" applyFont="1" applyBorder="1"/>
    <xf numFmtId="0" fontId="6" fillId="0" borderId="0" xfId="0" applyNumberFormat="1" applyFont="1" applyFill="1" applyBorder="1" applyAlignment="1"/>
    <xf numFmtId="0" fontId="0" fillId="0" borderId="0" xfId="0" applyBorder="1"/>
    <xf numFmtId="0" fontId="1" fillId="6" borderId="6" xfId="0" applyFont="1" applyFill="1" applyBorder="1"/>
    <xf numFmtId="166" fontId="1" fillId="6" borderId="5" xfId="0" applyNumberFormat="1" applyFont="1" applyFill="1" applyBorder="1"/>
    <xf numFmtId="0" fontId="1" fillId="6" borderId="7" xfId="0" applyFont="1" applyFill="1" applyBorder="1"/>
    <xf numFmtId="166" fontId="1" fillId="6" borderId="0" xfId="0" applyNumberFormat="1" applyFont="1" applyFill="1"/>
    <xf numFmtId="166" fontId="1" fillId="6" borderId="0" xfId="0" applyNumberFormat="1" applyFont="1" applyFill="1" applyBorder="1"/>
    <xf numFmtId="0" fontId="1" fillId="6" borderId="8" xfId="0" applyFont="1" applyFill="1" applyBorder="1"/>
    <xf numFmtId="166" fontId="1" fillId="6" borderId="9" xfId="0" applyNumberFormat="1" applyFont="1" applyFill="1" applyBorder="1"/>
    <xf numFmtId="0" fontId="3" fillId="6" borderId="7" xfId="0" applyFont="1" applyFill="1" applyBorder="1"/>
    <xf numFmtId="166" fontId="16" fillId="6" borderId="0" xfId="0" applyNumberFormat="1" applyFont="1" applyFill="1"/>
    <xf numFmtId="166" fontId="2" fillId="6" borderId="0" xfId="0" applyNumberFormat="1" applyFont="1" applyFill="1"/>
    <xf numFmtId="166" fontId="1" fillId="6" borderId="10" xfId="0" applyNumberFormat="1" applyFont="1" applyFill="1" applyBorder="1"/>
    <xf numFmtId="0" fontId="3" fillId="6" borderId="11" xfId="0" applyFont="1" applyFill="1" applyBorder="1"/>
    <xf numFmtId="1" fontId="1" fillId="6" borderId="7" xfId="0" applyNumberFormat="1" applyFont="1" applyFill="1" applyBorder="1"/>
    <xf numFmtId="166" fontId="17" fillId="6" borderId="0" xfId="0" applyNumberFormat="1" applyFont="1" applyFill="1" applyBorder="1" applyAlignment="1" applyProtection="1">
      <alignment horizontal="left" vertical="top" wrapText="1"/>
    </xf>
    <xf numFmtId="1" fontId="3" fillId="6" borderId="11" xfId="0" applyNumberFormat="1" applyFont="1" applyFill="1" applyBorder="1"/>
    <xf numFmtId="166" fontId="0" fillId="6" borderId="0" xfId="0" applyNumberFormat="1" applyFont="1" applyFill="1" applyBorder="1"/>
    <xf numFmtId="166" fontId="0" fillId="0" borderId="1" xfId="0" applyNumberFormat="1" applyBorder="1"/>
    <xf numFmtId="166" fontId="1" fillId="6" borderId="0" xfId="0" applyNumberFormat="1" applyFont="1" applyFill="1" applyBorder="1" applyAlignment="1">
      <alignment horizontal="center" vertical="center"/>
    </xf>
    <xf numFmtId="0" fontId="1" fillId="6" borderId="11" xfId="0" applyFont="1" applyFill="1" applyBorder="1"/>
    <xf numFmtId="166" fontId="1" fillId="6" borderId="10" xfId="0" applyNumberFormat="1" applyFont="1" applyFill="1" applyBorder="1" applyAlignment="1">
      <alignment horizontal="center" vertical="center"/>
    </xf>
    <xf numFmtId="167" fontId="1" fillId="6" borderId="7" xfId="0" applyNumberFormat="1" applyFont="1" applyFill="1" applyBorder="1"/>
    <xf numFmtId="166" fontId="1" fillId="6" borderId="4" xfId="0" applyNumberFormat="1" applyFont="1" applyFill="1" applyBorder="1" applyAlignment="1">
      <alignment horizontal="center" vertical="center"/>
    </xf>
    <xf numFmtId="166" fontId="3" fillId="6" borderId="0" xfId="0" applyNumberFormat="1" applyFont="1" applyFill="1" applyBorder="1" applyAlignment="1">
      <alignment horizontal="center" vertical="center"/>
    </xf>
    <xf numFmtId="0" fontId="3" fillId="6" borderId="7" xfId="0" applyFont="1" applyFill="1" applyBorder="1" applyAlignment="1">
      <alignment horizontal="right"/>
    </xf>
    <xf numFmtId="0" fontId="3" fillId="6" borderId="8" xfId="0" applyFont="1" applyFill="1" applyBorder="1" applyAlignment="1">
      <alignment horizontal="right" vertical="center"/>
    </xf>
    <xf numFmtId="166" fontId="1" fillId="6" borderId="12" xfId="0" applyNumberFormat="1" applyFont="1" applyFill="1" applyBorder="1" applyAlignment="1">
      <alignment horizontal="center" vertical="center"/>
    </xf>
    <xf numFmtId="0" fontId="0" fillId="6" borderId="7" xfId="0" applyFont="1" applyFill="1" applyBorder="1"/>
    <xf numFmtId="1" fontId="1" fillId="6" borderId="8" xfId="0" applyNumberFormat="1" applyFont="1" applyFill="1" applyBorder="1"/>
    <xf numFmtId="0" fontId="0" fillId="6" borderId="0" xfId="0" applyFill="1"/>
    <xf numFmtId="166" fontId="3" fillId="6" borderId="0" xfId="0" applyNumberFormat="1" applyFont="1" applyFill="1" applyBorder="1"/>
    <xf numFmtId="165" fontId="6" fillId="0" borderId="0" xfId="0" applyNumberFormat="1" applyFont="1" applyFill="1" applyBorder="1" applyAlignment="1">
      <alignment horizontal="center"/>
    </xf>
    <xf numFmtId="165" fontId="8" fillId="0" borderId="0" xfId="0" applyNumberFormat="1" applyFont="1" applyFill="1" applyBorder="1" applyAlignment="1">
      <alignment horizontal="center"/>
    </xf>
    <xf numFmtId="165" fontId="10" fillId="0" borderId="0" xfId="0" applyNumberFormat="1" applyFont="1" applyFill="1" applyBorder="1" applyAlignment="1">
      <alignment horizontal="center"/>
    </xf>
    <xf numFmtId="165" fontId="9" fillId="0" borderId="0" xfId="0" applyNumberFormat="1" applyFont="1" applyFill="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0" fillId="0" borderId="0" xfId="0" applyFill="1" applyBorder="1" applyAlignment="1"/>
  </cellXfs>
  <cellStyles count="2">
    <cellStyle name="Normal" xfId="0" builtinId="0"/>
    <cellStyle name="Percent" xfId="1" builtinId="5"/>
  </cellStyles>
  <dxfs count="2">
    <dxf>
      <font>
        <color rgb="FFFF0000"/>
      </font>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145646970482067E-2"/>
          <c:y val="0.20819530625064969"/>
          <c:w val="0.81765630681555235"/>
          <c:h val="0.78210434222038039"/>
        </c:manualLayout>
      </c:layout>
      <c:pie3DChart>
        <c:varyColors val="1"/>
        <c:ser>
          <c:idx val="0"/>
          <c:order val="0"/>
          <c:tx>
            <c:strRef>
              <c:f>'Chemical content'!$P$50:$P$53</c:f>
              <c:strCache>
                <c:ptCount val="4"/>
                <c:pt idx="0">
                  <c:v>Moisture</c:v>
                </c:pt>
                <c:pt idx="1">
                  <c:v>Protein</c:v>
                </c:pt>
                <c:pt idx="2">
                  <c:v>Fat</c:v>
                </c:pt>
                <c:pt idx="3">
                  <c:v>Minerals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C36-4FB6-B224-57A23CBB347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C36-4FB6-B224-57A23CBB3475}"/>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C36-4FB6-B224-57A23CBB3475}"/>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1C36-4FB6-B224-57A23CBB3475}"/>
              </c:ext>
            </c:extLst>
          </c:dPt>
          <c:dLbls>
            <c:dLbl>
              <c:idx val="0"/>
              <c:layout>
                <c:manualLayout>
                  <c:x val="8.3147755150905223E-2"/>
                  <c:y val="0"/>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36-4FB6-B224-57A23CBB3475}"/>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3-1C36-4FB6-B224-57A23CBB3475}"/>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5-1C36-4FB6-B224-57A23CBB3475}"/>
                </c:ext>
              </c:extLst>
            </c:dLbl>
            <c:dLbl>
              <c:idx val="3"/>
              <c:layout>
                <c:manualLayout>
                  <c:x val="0.10095735422106179"/>
                  <c:y val="0"/>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36-4FB6-B224-57A23CBB3475}"/>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'Chemical content'!$P$50:$P$53</c:f>
              <c:strCache>
                <c:ptCount val="4"/>
                <c:pt idx="0">
                  <c:v>Moisture</c:v>
                </c:pt>
                <c:pt idx="1">
                  <c:v>Protein</c:v>
                </c:pt>
                <c:pt idx="2">
                  <c:v>Fat</c:v>
                </c:pt>
                <c:pt idx="3">
                  <c:v>Minerals</c:v>
                </c:pt>
              </c:strCache>
            </c:strRef>
          </c:cat>
          <c:val>
            <c:numRef>
              <c:f>'Chemical content'!$R$50:$R$53</c:f>
              <c:numCache>
                <c:formatCode>0.0%</c:formatCode>
                <c:ptCount val="4"/>
                <c:pt idx="0">
                  <c:v>0</c:v>
                </c:pt>
                <c:pt idx="1">
                  <c:v>0</c:v>
                </c:pt>
                <c:pt idx="2">
                  <c:v>0</c:v>
                </c:pt>
                <c:pt idx="3">
                  <c:v>0</c:v>
                </c:pt>
              </c:numCache>
            </c:numRef>
          </c:val>
          <c:extLst>
            <c:ext xmlns:c16="http://schemas.microsoft.com/office/drawing/2014/chart" uri="{C3380CC4-5D6E-409C-BE32-E72D297353CC}">
              <c16:uniqueId val="{00000008-1C36-4FB6-B224-57A23CBB3475}"/>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Chemical content'!$I$4" fmlaRange="'Chemical content'!$E$4:$E$9" noThreeD="1" sel="1" val="0"/>
</file>

<file path=xl/ctrlProps/ctrlProp2.xml><?xml version="1.0" encoding="utf-8"?>
<formControlPr xmlns="http://schemas.microsoft.com/office/spreadsheetml/2009/9/main" objectType="Drop" dropStyle="combo" dx="16" fmlaLink="'Chemical content'!$L$4" fmlaRange="'Chemical content'!$J$4:$J$5" noThreeD="1" sel="1" val="0"/>
</file>

<file path=xl/ctrlProps/ctrlProp3.xml><?xml version="1.0" encoding="utf-8"?>
<formControlPr xmlns="http://schemas.microsoft.com/office/spreadsheetml/2009/9/main" objectType="Drop" dropStyle="combo" dx="16" fmlaLink="'Chemical content'!$R$4" fmlaRange="'Chemical content'!$N$4:$N$9" noThreeD="1" sel="1" val="0"/>
</file>

<file path=xl/ctrlProps/ctrlProp4.xml><?xml version="1.0" encoding="utf-8"?>
<formControlPr xmlns="http://schemas.microsoft.com/office/spreadsheetml/2009/9/main" objectType="CheckBox" checked="Checked" fmlaLink="'Chemical content'!$Z$4" lockText="1" noThreeD="1"/>
</file>

<file path=xl/ctrlProps/ctrlProp5.xml><?xml version="1.0" encoding="utf-8"?>
<formControlPr xmlns="http://schemas.microsoft.com/office/spreadsheetml/2009/9/main" objectType="CheckBox" checked="Checked" fmlaLink="'Chemical content'!$Z$6" lockText="1" noThreeD="1"/>
</file>

<file path=xl/ctrlProps/ctrlProp6.xml><?xml version="1.0" encoding="utf-8"?>
<formControlPr xmlns="http://schemas.microsoft.com/office/spreadsheetml/2009/9/main" objectType="CheckBox" checked="Checked" fmlaLink="'Chemical content'!$Z$5" lockText="1" noThreeD="1"/>
</file>

<file path=xl/ctrlProps/ctrlProp7.xml><?xml version="1.0" encoding="utf-8"?>
<formControlPr xmlns="http://schemas.microsoft.com/office/spreadsheetml/2009/9/main" objectType="Drop" dropStyle="combo" dx="16" fmlaLink="'Chemical content'!$W$4" fmlaRange="'Chemical content'!$T$4:$T$5" noThreeD="1" sel="2" val="0"/>
</file>

<file path=xl/ctrlProps/ctrlProp8.xml><?xml version="1.0" encoding="utf-8"?>
<formControlPr xmlns="http://schemas.microsoft.com/office/spreadsheetml/2009/9/main" objectType="CheckBox" fmlaLink="'Chemical content'!$AB$4" lockText="1" noThreeD="1"/>
</file>

<file path=xl/ctrlProps/ctrlProp9.xml><?xml version="1.0" encoding="utf-8"?>
<formControlPr xmlns="http://schemas.microsoft.com/office/spreadsheetml/2009/9/main" objectType="CheckBox" fmlaLink="'Chemical content'!$AB$5"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5" Type="http://schemas.openxmlformats.org/officeDocument/2006/relationships/image" Target="../media/image4.emf"/><Relationship Id="rId4" Type="http://schemas.openxmlformats.org/officeDocument/2006/relationships/image" Target="../media/image3.emf"/></Relationships>
</file>

<file path=xl/drawings/_rels/drawing2.xml.rels><?xml version="1.0" encoding="UTF-8" standalone="yes"?>
<Relationships xmlns="http://schemas.openxmlformats.org/package/2006/relationships"><Relationship Id="rId8" Type="http://schemas.openxmlformats.org/officeDocument/2006/relationships/image" Target="../media/image13.JP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10.jpeg"/><Relationship Id="rId7" Type="http://schemas.openxmlformats.org/officeDocument/2006/relationships/image" Target="../media/image12.JP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9.jpeg"/><Relationship Id="rId16" Type="http://schemas.openxmlformats.org/officeDocument/2006/relationships/image" Target="../media/image21.png"/><Relationship Id="rId1" Type="http://schemas.openxmlformats.org/officeDocument/2006/relationships/image" Target="../media/image8.png"/><Relationship Id="rId6" Type="http://schemas.openxmlformats.org/officeDocument/2006/relationships/image" Target="../media/image4.emf"/><Relationship Id="rId11" Type="http://schemas.openxmlformats.org/officeDocument/2006/relationships/image" Target="../media/image16.png"/><Relationship Id="rId5" Type="http://schemas.openxmlformats.org/officeDocument/2006/relationships/image" Target="../media/image3.emf"/><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11.jpeg"/><Relationship Id="rId9" Type="http://schemas.openxmlformats.org/officeDocument/2006/relationships/image" Target="../media/image14.jpe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0</xdr:col>
      <xdr:colOff>622301</xdr:colOff>
      <xdr:row>26</xdr:row>
      <xdr:rowOff>173567</xdr:rowOff>
    </xdr:from>
    <xdr:to>
      <xdr:col>6</xdr:col>
      <xdr:colOff>10583</xdr:colOff>
      <xdr:row>35</xdr:row>
      <xdr:rowOff>95251</xdr:rowOff>
    </xdr:to>
    <xdr:sp macro="" textlink="">
      <xdr:nvSpPr>
        <xdr:cNvPr id="27" name="Rounded Rectangle 26">
          <a:extLst>
            <a:ext uri="{FF2B5EF4-FFF2-40B4-BE49-F238E27FC236}">
              <a16:creationId xmlns:a16="http://schemas.microsoft.com/office/drawing/2014/main" id="{00000000-0008-0000-0000-00001B000000}"/>
            </a:ext>
          </a:extLst>
        </xdr:cNvPr>
        <xdr:cNvSpPr/>
      </xdr:nvSpPr>
      <xdr:spPr>
        <a:xfrm>
          <a:off x="622301" y="6809317"/>
          <a:ext cx="3759199" cy="1869017"/>
        </a:xfrm>
        <a:prstGeom prst="roundRect">
          <a:avLst/>
        </a:prstGeom>
        <a:noFill/>
        <a:ln w="127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s-IS" sz="1100"/>
        </a:p>
      </xdr:txBody>
    </xdr:sp>
    <xdr:clientData/>
  </xdr:twoCellAnchor>
  <xdr:twoCellAnchor>
    <xdr:from>
      <xdr:col>1</xdr:col>
      <xdr:colOff>12700</xdr:colOff>
      <xdr:row>36</xdr:row>
      <xdr:rowOff>29633</xdr:rowOff>
    </xdr:from>
    <xdr:to>
      <xdr:col>10</xdr:col>
      <xdr:colOff>539750</xdr:colOff>
      <xdr:row>55</xdr:row>
      <xdr:rowOff>169333</xdr:rowOff>
    </xdr:to>
    <xdr:sp macro="" textlink="">
      <xdr:nvSpPr>
        <xdr:cNvPr id="30" name="Rounded Rectangle 29">
          <a:extLst>
            <a:ext uri="{FF2B5EF4-FFF2-40B4-BE49-F238E27FC236}">
              <a16:creationId xmlns:a16="http://schemas.microsoft.com/office/drawing/2014/main" id="{00000000-0008-0000-0000-00001E000000}"/>
            </a:ext>
          </a:extLst>
        </xdr:cNvPr>
        <xdr:cNvSpPr/>
      </xdr:nvSpPr>
      <xdr:spPr>
        <a:xfrm>
          <a:off x="637117" y="8803216"/>
          <a:ext cx="7067550" cy="4383617"/>
        </a:xfrm>
        <a:prstGeom prst="roundRect">
          <a:avLst/>
        </a:prstGeom>
        <a:noFill/>
        <a:ln w="127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s-IS" sz="1100"/>
        </a:p>
      </xdr:txBody>
    </xdr:sp>
    <xdr:clientData/>
  </xdr:twoCellAnchor>
  <xdr:twoCellAnchor>
    <xdr:from>
      <xdr:col>0</xdr:col>
      <xdr:colOff>618067</xdr:colOff>
      <xdr:row>15</xdr:row>
      <xdr:rowOff>78316</xdr:rowOff>
    </xdr:from>
    <xdr:to>
      <xdr:col>5</xdr:col>
      <xdr:colOff>793750</xdr:colOff>
      <xdr:row>26</xdr:row>
      <xdr:rowOff>125941</xdr:rowOff>
    </xdr:to>
    <xdr:sp macro="" textlink="">
      <xdr:nvSpPr>
        <xdr:cNvPr id="21" name="Rounded Rectangle 20">
          <a:extLst>
            <a:ext uri="{FF2B5EF4-FFF2-40B4-BE49-F238E27FC236}">
              <a16:creationId xmlns:a16="http://schemas.microsoft.com/office/drawing/2014/main" id="{00000000-0008-0000-0000-000015000000}"/>
            </a:ext>
          </a:extLst>
        </xdr:cNvPr>
        <xdr:cNvSpPr/>
      </xdr:nvSpPr>
      <xdr:spPr>
        <a:xfrm>
          <a:off x="618067" y="4491566"/>
          <a:ext cx="3742266" cy="2270125"/>
        </a:xfrm>
        <a:prstGeom prst="roundRect">
          <a:avLst/>
        </a:prstGeom>
        <a:noFill/>
        <a:ln w="1270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s-IS" sz="1100"/>
        </a:p>
      </xdr:txBody>
    </xdr:sp>
    <xdr:clientData/>
  </xdr:twoCellAnchor>
  <xdr:twoCellAnchor>
    <xdr:from>
      <xdr:col>0</xdr:col>
      <xdr:colOff>588131</xdr:colOff>
      <xdr:row>8</xdr:row>
      <xdr:rowOff>302379</xdr:rowOff>
    </xdr:from>
    <xdr:to>
      <xdr:col>10</xdr:col>
      <xdr:colOff>761999</xdr:colOff>
      <xdr:row>15</xdr:row>
      <xdr:rowOff>10583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88131" y="2090962"/>
          <a:ext cx="7338785" cy="2332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dk1"/>
              </a:solidFill>
              <a:effectLst/>
              <a:latin typeface="+mn-lt"/>
              <a:ea typeface="+mn-ea"/>
              <a:cs typeface="+mn-cs"/>
            </a:rPr>
            <a:t>This calculator computes the revenue obtained by adding/increasing</a:t>
          </a:r>
          <a:r>
            <a:rPr lang="en-US" sz="1400" baseline="0">
              <a:solidFill>
                <a:schemeClr val="dk1"/>
              </a:solidFill>
              <a:effectLst/>
              <a:latin typeface="+mn-lt"/>
              <a:ea typeface="+mn-ea"/>
              <a:cs typeface="+mn-cs"/>
            </a:rPr>
            <a:t> the</a:t>
          </a:r>
          <a:r>
            <a:rPr lang="en-US" sz="1400">
              <a:solidFill>
                <a:schemeClr val="dk1"/>
              </a:solidFill>
              <a:effectLst/>
              <a:latin typeface="+mn-lt"/>
              <a:ea typeface="+mn-ea"/>
              <a:cs typeface="+mn-cs"/>
            </a:rPr>
            <a:t> processing of by-catches as well as estimating the benefits of improved handling. This calculator is a part of WP5 (DiscardLess) where solutions have been developed for four Europian fleet segments. Solutions for processing of bycatch, sorting, storing of the catch and how to improve all handling are</a:t>
          </a:r>
          <a:r>
            <a:rPr lang="en-US" sz="1400" baseline="0">
              <a:solidFill>
                <a:schemeClr val="dk1"/>
              </a:solidFill>
              <a:effectLst/>
              <a:latin typeface="+mn-lt"/>
              <a:ea typeface="+mn-ea"/>
              <a:cs typeface="+mn-cs"/>
            </a:rPr>
            <a:t> all presented</a:t>
          </a:r>
          <a:r>
            <a:rPr lang="en-US" sz="1400">
              <a:solidFill>
                <a:schemeClr val="dk1"/>
              </a:solidFill>
              <a:effectLst/>
              <a:latin typeface="+mn-lt"/>
              <a:ea typeface="+mn-ea"/>
              <a:cs typeface="+mn-cs"/>
            </a:rPr>
            <a:t>. Along with revenues, this calculator presents the investment cost for each respective fleet segment based on the solutions offered.</a:t>
          </a:r>
        </a:p>
        <a:p>
          <a:r>
            <a:rPr lang="en-US" sz="1400">
              <a:solidFill>
                <a:schemeClr val="dk1"/>
              </a:solidFill>
              <a:effectLst/>
              <a:latin typeface="+mn-lt"/>
              <a:ea typeface="+mn-ea"/>
              <a:cs typeface="+mn-cs"/>
            </a:rPr>
            <a:t>The aforementioned by-catch consist of fish under minimum conservation reference size (MCRS), unavoidable unwanted catch (UUC) and viscera &amp; offals. These catches have been analyzed with respect to the chemical composition, fishing habit and fishing stocks for each fleet segment. </a:t>
          </a:r>
        </a:p>
        <a:p>
          <a:r>
            <a:rPr lang="en-US" sz="1400">
              <a:solidFill>
                <a:schemeClr val="dk1"/>
              </a:solidFill>
              <a:effectLst/>
              <a:latin typeface="+mn-lt"/>
              <a:ea typeface="+mn-ea"/>
              <a:cs typeface="+mn-cs"/>
            </a:rPr>
            <a:t>For more information about designs, see WP5 (D5.4), DiscardLess.</a:t>
          </a:r>
        </a:p>
      </xdr:txBody>
    </xdr:sp>
    <xdr:clientData/>
  </xdr:twoCellAnchor>
  <mc:AlternateContent xmlns:mc="http://schemas.openxmlformats.org/markup-compatibility/2006">
    <mc:Choice xmlns:a14="http://schemas.microsoft.com/office/drawing/2010/main" Requires="a14">
      <xdr:twoCellAnchor editAs="oneCell">
        <xdr:from>
          <xdr:col>2</xdr:col>
          <xdr:colOff>22860</xdr:colOff>
          <xdr:row>17</xdr:row>
          <xdr:rowOff>68580</xdr:rowOff>
        </xdr:from>
        <xdr:to>
          <xdr:col>5</xdr:col>
          <xdr:colOff>502920</xdr:colOff>
          <xdr:row>18</xdr:row>
          <xdr:rowOff>198120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28</xdr:row>
          <xdr:rowOff>68580</xdr:rowOff>
        </xdr:from>
        <xdr:to>
          <xdr:col>5</xdr:col>
          <xdr:colOff>38100</xdr:colOff>
          <xdr:row>30</xdr:row>
          <xdr:rowOff>30480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40</xdr:row>
          <xdr:rowOff>7620</xdr:rowOff>
        </xdr:from>
        <xdr:to>
          <xdr:col>5</xdr:col>
          <xdr:colOff>106680</xdr:colOff>
          <xdr:row>41</xdr:row>
          <xdr:rowOff>160020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12</xdr:col>
      <xdr:colOff>88787</xdr:colOff>
      <xdr:row>21</xdr:row>
      <xdr:rowOff>46452</xdr:rowOff>
    </xdr:from>
    <xdr:to>
      <xdr:col>17</xdr:col>
      <xdr:colOff>266851</xdr:colOff>
      <xdr:row>28</xdr:row>
      <xdr:rowOff>69586</xdr:rowOff>
    </xdr:to>
    <xdr:graphicFrame macro="">
      <xdr:nvGraphicFramePr>
        <xdr:cNvPr id="11" name="Chart 10">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18</xdr:col>
      <xdr:colOff>301809</xdr:colOff>
      <xdr:row>7</xdr:row>
      <xdr:rowOff>110490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a:stretch>
          <a:fillRect/>
        </a:stretch>
      </xdr:blipFill>
      <xdr:spPr>
        <a:xfrm>
          <a:off x="0" y="0"/>
          <a:ext cx="12497891" cy="1700893"/>
        </a:xfrm>
        <a:prstGeom prst="rect">
          <a:avLst/>
        </a:prstGeom>
      </xdr:spPr>
    </xdr:pic>
    <xdr:clientData/>
  </xdr:twoCellAnchor>
  <xdr:twoCellAnchor editAs="oneCell">
    <xdr:from>
      <xdr:col>0</xdr:col>
      <xdr:colOff>134989</xdr:colOff>
      <xdr:row>1</xdr:row>
      <xdr:rowOff>354316</xdr:rowOff>
    </xdr:from>
    <xdr:to>
      <xdr:col>3</xdr:col>
      <xdr:colOff>985899</xdr:colOff>
      <xdr:row>5</xdr:row>
      <xdr:rowOff>41741</xdr:rowOff>
    </xdr:to>
    <xdr:pic>
      <xdr:nvPicPr>
        <xdr:cNvPr id="18" name="Picture 17" descr="Image result for makríll matís">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027029" flipV="1">
          <a:off x="134989" y="544816"/>
          <a:ext cx="2478052" cy="727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312420</xdr:colOff>
          <xdr:row>42</xdr:row>
          <xdr:rowOff>152400</xdr:rowOff>
        </xdr:from>
        <xdr:to>
          <xdr:col>3</xdr:col>
          <xdr:colOff>251460</xdr:colOff>
          <xdr:row>44</xdr:row>
          <xdr:rowOff>99060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MCRS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312420</xdr:colOff>
          <xdr:row>45</xdr:row>
          <xdr:rowOff>182880</xdr:rowOff>
        </xdr:from>
        <xdr:to>
          <xdr:col>3</xdr:col>
          <xdr:colOff>723900</xdr:colOff>
          <xdr:row>47</xdr:row>
          <xdr:rowOff>106680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Viscera and offals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44</xdr:row>
          <xdr:rowOff>45720</xdr:rowOff>
        </xdr:from>
        <xdr:to>
          <xdr:col>3</xdr:col>
          <xdr:colOff>251460</xdr:colOff>
          <xdr:row>45</xdr:row>
          <xdr:rowOff>160020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UUC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502920</xdr:colOff>
          <xdr:row>40</xdr:row>
          <xdr:rowOff>7620</xdr:rowOff>
        </xdr:from>
        <xdr:to>
          <xdr:col>9</xdr:col>
          <xdr:colOff>182880</xdr:colOff>
          <xdr:row>41</xdr:row>
          <xdr:rowOff>160020</xdr:rowOff>
        </xdr:to>
        <xdr:sp macro="" textlink="">
          <xdr:nvSpPr>
            <xdr:cNvPr id="1032" name="Drop Dow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42</xdr:row>
          <xdr:rowOff>175260</xdr:rowOff>
        </xdr:from>
        <xdr:to>
          <xdr:col>6</xdr:col>
          <xdr:colOff>441960</xdr:colOff>
          <xdr:row>44</xdr:row>
          <xdr:rowOff>106680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MCRS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44</xdr:row>
          <xdr:rowOff>68580</xdr:rowOff>
        </xdr:from>
        <xdr:to>
          <xdr:col>6</xdr:col>
          <xdr:colOff>579120</xdr:colOff>
          <xdr:row>45</xdr:row>
          <xdr:rowOff>182880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UUC</a:t>
              </a:r>
            </a:p>
          </xdr:txBody>
        </xdr:sp>
        <xdr:clientData/>
      </xdr:twoCellAnchor>
    </mc:Choice>
    <mc:Fallback/>
  </mc:AlternateContent>
  <xdr:twoCellAnchor>
    <xdr:from>
      <xdr:col>6</xdr:col>
      <xdr:colOff>143935</xdr:colOff>
      <xdr:row>16</xdr:row>
      <xdr:rowOff>43127</xdr:rowOff>
    </xdr:from>
    <xdr:to>
      <xdr:col>10</xdr:col>
      <xdr:colOff>547953</xdr:colOff>
      <xdr:row>35</xdr:row>
      <xdr:rowOff>31750</xdr:rowOff>
    </xdr:to>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4514852" y="4646877"/>
          <a:ext cx="3198018" cy="39679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1200" b="1"/>
            <a:t>Instructions</a:t>
          </a:r>
        </a:p>
        <a:p>
          <a:endParaRPr lang="is-IS" sz="1200" b="1"/>
        </a:p>
        <a:p>
          <a:r>
            <a:rPr lang="en-US" sz="1200">
              <a:solidFill>
                <a:schemeClr val="dk1"/>
              </a:solidFill>
              <a:effectLst/>
              <a:latin typeface="+mn-lt"/>
              <a:ea typeface="+mn-ea"/>
              <a:cs typeface="+mn-cs"/>
            </a:rPr>
            <a:t>Step.1  Select one of the four fleet segments by clicking the combo box.</a:t>
          </a:r>
        </a:p>
        <a:p>
          <a:endParaRPr lang="is-IS" sz="1200">
            <a:solidFill>
              <a:schemeClr val="dk1"/>
            </a:solidFill>
            <a:effectLst/>
            <a:latin typeface="+mn-lt"/>
            <a:ea typeface="+mn-ea"/>
            <a:cs typeface="+mn-cs"/>
          </a:endParaRPr>
        </a:p>
        <a:p>
          <a:r>
            <a:rPr lang="en-US" sz="1200">
              <a:solidFill>
                <a:schemeClr val="dk1"/>
              </a:solidFill>
              <a:effectLst/>
              <a:latin typeface="+mn-lt"/>
              <a:ea typeface="+mn-ea"/>
              <a:cs typeface="+mn-cs"/>
            </a:rPr>
            <a:t>Step. 2</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Type in the </a:t>
          </a:r>
          <a:r>
            <a:rPr lang="en-US" sz="1200" u="sng">
              <a:solidFill>
                <a:schemeClr val="dk1"/>
              </a:solidFill>
              <a:effectLst/>
              <a:latin typeface="+mn-lt"/>
              <a:ea typeface="+mn-ea"/>
              <a:cs typeface="+mn-cs"/>
            </a:rPr>
            <a:t>annual</a:t>
          </a:r>
          <a:r>
            <a:rPr lang="en-US" sz="1200">
              <a:solidFill>
                <a:schemeClr val="dk1"/>
              </a:solidFill>
              <a:effectLst/>
              <a:latin typeface="+mn-lt"/>
              <a:ea typeface="+mn-ea"/>
              <a:cs typeface="+mn-cs"/>
            </a:rPr>
            <a:t> volumes of MCRS, UUC and viscera &amp; offal’s in the white boxes.</a:t>
          </a:r>
        </a:p>
        <a:p>
          <a:endParaRPr lang="is-IS" sz="1200">
            <a:solidFill>
              <a:schemeClr val="dk1"/>
            </a:solidFill>
            <a:effectLst/>
            <a:latin typeface="+mn-lt"/>
            <a:ea typeface="+mn-ea"/>
            <a:cs typeface="+mn-cs"/>
          </a:endParaRPr>
        </a:p>
        <a:p>
          <a:r>
            <a:rPr lang="en-US" sz="1200">
              <a:solidFill>
                <a:schemeClr val="dk1"/>
              </a:solidFill>
              <a:effectLst/>
              <a:latin typeface="+mn-lt"/>
              <a:ea typeface="+mn-ea"/>
              <a:cs typeface="+mn-cs"/>
            </a:rPr>
            <a:t>Step. 3  Select whether you want a total overhaul of the traditional processing line on board</a:t>
          </a:r>
        </a:p>
        <a:p>
          <a:endParaRPr lang="is-IS" sz="1200">
            <a:solidFill>
              <a:schemeClr val="dk1"/>
            </a:solidFill>
            <a:effectLst/>
            <a:latin typeface="+mn-lt"/>
            <a:ea typeface="+mn-ea"/>
            <a:cs typeface="+mn-cs"/>
          </a:endParaRPr>
        </a:p>
        <a:p>
          <a:r>
            <a:rPr lang="en-US" sz="1200">
              <a:solidFill>
                <a:schemeClr val="dk1"/>
              </a:solidFill>
              <a:effectLst/>
              <a:latin typeface="+mn-lt"/>
              <a:ea typeface="+mn-ea"/>
              <a:cs typeface="+mn-cs"/>
            </a:rPr>
            <a:t>Step. 4</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Select a processing method </a:t>
          </a:r>
        </a:p>
        <a:p>
          <a:endParaRPr lang="is-IS" sz="1200">
            <a:solidFill>
              <a:schemeClr val="dk1"/>
            </a:solidFill>
            <a:effectLst/>
            <a:latin typeface="+mn-lt"/>
            <a:ea typeface="+mn-ea"/>
            <a:cs typeface="+mn-cs"/>
          </a:endParaRPr>
        </a:p>
        <a:p>
          <a:r>
            <a:rPr lang="en-US" sz="1200">
              <a:solidFill>
                <a:schemeClr val="dk1"/>
              </a:solidFill>
              <a:effectLst/>
              <a:latin typeface="+mn-lt"/>
              <a:ea typeface="+mn-ea"/>
              <a:cs typeface="+mn-cs"/>
            </a:rPr>
            <a:t>Step. 5  Select if you want the by-catch to be landed in a traditional way</a:t>
          </a:r>
        </a:p>
        <a:p>
          <a:endParaRPr lang="is-IS" sz="1200">
            <a:solidFill>
              <a:schemeClr val="dk1"/>
            </a:solidFill>
            <a:effectLst/>
            <a:latin typeface="+mn-lt"/>
            <a:ea typeface="+mn-ea"/>
            <a:cs typeface="+mn-cs"/>
          </a:endParaRPr>
        </a:p>
        <a:p>
          <a:r>
            <a:rPr lang="en-US" sz="1200">
              <a:solidFill>
                <a:schemeClr val="dk1"/>
              </a:solidFill>
              <a:effectLst/>
              <a:latin typeface="+mn-lt"/>
              <a:ea typeface="+mn-ea"/>
              <a:cs typeface="+mn-cs"/>
            </a:rPr>
            <a:t>Step. 6  Use the check boxes to choose which raw materials should be processed</a:t>
          </a:r>
          <a:endParaRPr lang="is-IS" sz="1100" b="1"/>
        </a:p>
      </xdr:txBody>
    </xdr:sp>
    <xdr:clientData/>
  </xdr:twoCellAnchor>
  <xdr:twoCellAnchor editAs="oneCell">
    <xdr:from>
      <xdr:col>14</xdr:col>
      <xdr:colOff>117171</xdr:colOff>
      <xdr:row>1</xdr:row>
      <xdr:rowOff>414262</xdr:rowOff>
    </xdr:from>
    <xdr:to>
      <xdr:col>18</xdr:col>
      <xdr:colOff>186850</xdr:colOff>
      <xdr:row>5</xdr:row>
      <xdr:rowOff>111212</xdr:rowOff>
    </xdr:to>
    <xdr:pic>
      <xdr:nvPicPr>
        <xdr:cNvPr id="26" name="Picture 25" descr="Image result for makríll matís">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1645064" flipV="1">
          <a:off x="9885588" y="604762"/>
          <a:ext cx="2513582" cy="719723"/>
        </a:xfrm>
        <a:prstGeom prst="rect">
          <a:avLst/>
        </a:prstGeom>
        <a:noFill/>
        <a:scene3d>
          <a:camera prst="orthographicFront">
            <a:rot lat="0" lon="11399976" rev="0"/>
          </a:camera>
          <a:lightRig rig="threePt" dir="t"/>
        </a:scene3d>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424089</xdr:colOff>
          <xdr:row>9</xdr:row>
          <xdr:rowOff>97518</xdr:rowOff>
        </xdr:from>
        <xdr:to>
          <xdr:col>18</xdr:col>
          <xdr:colOff>187052</xdr:colOff>
          <xdr:row>16</xdr:row>
          <xdr:rowOff>3629</xdr:rowOff>
        </xdr:to>
        <xdr:pic>
          <xdr:nvPicPr>
            <xdr:cNvPr id="23" name="Picture 22">
              <a:extLst>
                <a:ext uri="{FF2B5EF4-FFF2-40B4-BE49-F238E27FC236}">
                  <a16:creationId xmlns:a16="http://schemas.microsoft.com/office/drawing/2014/main" id="{00000000-0008-0000-0000-000017000000}"/>
                </a:ext>
              </a:extLst>
            </xdr:cNvPr>
            <xdr:cNvPicPr>
              <a:picLocks noChangeAspect="1" noChangeArrowheads="1"/>
              <a:extLst>
                <a:ext uri="{84589F7E-364E-4C9E-8A38-B11213B215E9}">
                  <a14:cameraTool cellRange="batar" spid="_x0000_s1550"/>
                </a:ext>
              </a:extLst>
            </xdr:cNvPicPr>
          </xdr:nvPicPr>
          <xdr:blipFill>
            <a:blip xmlns:r="http://schemas.openxmlformats.org/officeDocument/2006/relationships" r:embed="rId4"/>
            <a:srcRect/>
            <a:stretch>
              <a:fillRect/>
            </a:stretch>
          </xdr:blipFill>
          <xdr:spPr bwMode="auto">
            <a:xfrm>
              <a:off x="8343446" y="2193018"/>
              <a:ext cx="4045403" cy="240982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417286</xdr:colOff>
          <xdr:row>30</xdr:row>
          <xdr:rowOff>49893</xdr:rowOff>
        </xdr:from>
        <xdr:to>
          <xdr:col>18</xdr:col>
          <xdr:colOff>185964</xdr:colOff>
          <xdr:row>40</xdr:row>
          <xdr:rowOff>155394</xdr:rowOff>
        </xdr:to>
        <xdr:pic>
          <xdr:nvPicPr>
            <xdr:cNvPr id="25" name="Picture 24">
              <a:extLst>
                <a:ext uri="{FF2B5EF4-FFF2-40B4-BE49-F238E27FC236}">
                  <a16:creationId xmlns:a16="http://schemas.microsoft.com/office/drawing/2014/main" id="{00000000-0008-0000-0000-000019000000}"/>
                </a:ext>
              </a:extLst>
            </xdr:cNvPr>
            <xdr:cNvPicPr>
              <a:picLocks noChangeAspect="1" noChangeArrowheads="1"/>
              <a:extLst>
                <a:ext uri="{84589F7E-364E-4C9E-8A38-B11213B215E9}">
                  <a14:cameraTool cellRange="handling" spid="_x0000_s1551"/>
                </a:ext>
              </a:extLst>
            </xdr:cNvPicPr>
          </xdr:nvPicPr>
          <xdr:blipFill>
            <a:blip xmlns:r="http://schemas.openxmlformats.org/officeDocument/2006/relationships" r:embed="rId5"/>
            <a:srcRect/>
            <a:stretch>
              <a:fillRect/>
            </a:stretch>
          </xdr:blipFill>
          <xdr:spPr bwMode="auto">
            <a:xfrm>
              <a:off x="8336643" y="7629072"/>
              <a:ext cx="4045403" cy="2422525"/>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374196</xdr:colOff>
          <xdr:row>43</xdr:row>
          <xdr:rowOff>70303</xdr:rowOff>
        </xdr:from>
        <xdr:to>
          <xdr:col>18</xdr:col>
          <xdr:colOff>148589</xdr:colOff>
          <xdr:row>54</xdr:row>
          <xdr:rowOff>186237</xdr:rowOff>
        </xdr:to>
        <xdr:pic>
          <xdr:nvPicPr>
            <xdr:cNvPr id="29" name="Picture 28">
              <a:extLst>
                <a:ext uri="{FF2B5EF4-FFF2-40B4-BE49-F238E27FC236}">
                  <a16:creationId xmlns:a16="http://schemas.microsoft.com/office/drawing/2014/main" id="{00000000-0008-0000-0000-00001D000000}"/>
                </a:ext>
              </a:extLst>
            </xdr:cNvPr>
            <xdr:cNvPicPr>
              <a:picLocks noChangeAspect="1" noChangeArrowheads="1"/>
              <a:extLst>
                <a:ext uri="{84589F7E-364E-4C9E-8A38-B11213B215E9}">
                  <a14:cameraTool cellRange="process" spid="_x0000_s1552"/>
                </a:ext>
              </a:extLst>
            </xdr:cNvPicPr>
          </xdr:nvPicPr>
          <xdr:blipFill>
            <a:blip xmlns:r="http://schemas.openxmlformats.org/officeDocument/2006/relationships" r:embed="rId5"/>
            <a:srcRect/>
            <a:stretch>
              <a:fillRect/>
            </a:stretch>
          </xdr:blipFill>
          <xdr:spPr bwMode="auto">
            <a:xfrm>
              <a:off x="8293553" y="10534196"/>
              <a:ext cx="4045403" cy="2437040"/>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587375</xdr:colOff>
      <xdr:row>5</xdr:row>
      <xdr:rowOff>79375</xdr:rowOff>
    </xdr:from>
    <xdr:to>
      <xdr:col>4</xdr:col>
      <xdr:colOff>2993383</xdr:colOff>
      <xdr:row>5</xdr:row>
      <xdr:rowOff>2252518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207375" y="1031875"/>
          <a:ext cx="2406008" cy="2173143"/>
        </a:xfrm>
        <a:prstGeom prst="rect">
          <a:avLst/>
        </a:prstGeom>
      </xdr:spPr>
    </xdr:pic>
    <xdr:clientData/>
  </xdr:twoCellAnchor>
  <xdr:twoCellAnchor editAs="oneCell">
    <xdr:from>
      <xdr:col>5</xdr:col>
      <xdr:colOff>825500</xdr:colOff>
      <xdr:row>5</xdr:row>
      <xdr:rowOff>142875</xdr:rowOff>
    </xdr:from>
    <xdr:to>
      <xdr:col>5</xdr:col>
      <xdr:colOff>3231508</xdr:colOff>
      <xdr:row>5</xdr:row>
      <xdr:rowOff>2316018</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2461875" y="1095375"/>
          <a:ext cx="2406008" cy="2173143"/>
        </a:xfrm>
        <a:prstGeom prst="rect">
          <a:avLst/>
        </a:prstGeom>
      </xdr:spPr>
    </xdr:pic>
    <xdr:clientData/>
  </xdr:twoCellAnchor>
  <xdr:twoCellAnchor editAs="oneCell">
    <xdr:from>
      <xdr:col>6</xdr:col>
      <xdr:colOff>825500</xdr:colOff>
      <xdr:row>5</xdr:row>
      <xdr:rowOff>142875</xdr:rowOff>
    </xdr:from>
    <xdr:to>
      <xdr:col>6</xdr:col>
      <xdr:colOff>3231508</xdr:colOff>
      <xdr:row>5</xdr:row>
      <xdr:rowOff>2316018</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6478250" y="1095375"/>
          <a:ext cx="2406008" cy="2173143"/>
        </a:xfrm>
        <a:prstGeom prst="rect">
          <a:avLst/>
        </a:prstGeom>
      </xdr:spPr>
    </xdr:pic>
    <xdr:clientData/>
  </xdr:twoCellAnchor>
  <xdr:twoCellAnchor editAs="oneCell">
    <xdr:from>
      <xdr:col>4</xdr:col>
      <xdr:colOff>194625</xdr:colOff>
      <xdr:row>8</xdr:row>
      <xdr:rowOff>396875</xdr:rowOff>
    </xdr:from>
    <xdr:to>
      <xdr:col>4</xdr:col>
      <xdr:colOff>3758625</xdr:colOff>
      <xdr:row>8</xdr:row>
      <xdr:rowOff>2044700</xdr:rowOff>
    </xdr:to>
    <xdr:pic>
      <xdr:nvPicPr>
        <xdr:cNvPr id="7" name="Picture 6" descr="C:\Users\jonas\Downloads\2015-04-24 09.17.57.jpg">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7814625" y="8540750"/>
          <a:ext cx="3564000" cy="16478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283883</xdr:colOff>
      <xdr:row>6</xdr:row>
      <xdr:rowOff>34221</xdr:rowOff>
    </xdr:from>
    <xdr:to>
      <xdr:col>4</xdr:col>
      <xdr:colOff>3728759</xdr:colOff>
      <xdr:row>6</xdr:row>
      <xdr:rowOff>2328768</xdr:rowOff>
    </xdr:to>
    <xdr:pic>
      <xdr:nvPicPr>
        <xdr:cNvPr id="12" name="Picture 11" descr="SAJ 015">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7903883" y="3373574"/>
          <a:ext cx="3444876" cy="2294547"/>
        </a:xfrm>
        <a:prstGeom prst="rect">
          <a:avLst/>
        </a:prstGeom>
        <a:noFill/>
        <a:ln>
          <a:noFill/>
        </a:ln>
      </xdr:spPr>
    </xdr:pic>
    <xdr:clientData/>
  </xdr:twoCellAnchor>
  <xdr:twoCellAnchor editAs="oneCell">
    <xdr:from>
      <xdr:col>4</xdr:col>
      <xdr:colOff>349250</xdr:colOff>
      <xdr:row>7</xdr:row>
      <xdr:rowOff>98568</xdr:rowOff>
    </xdr:from>
    <xdr:to>
      <xdr:col>4</xdr:col>
      <xdr:colOff>3714750</xdr:colOff>
      <xdr:row>7</xdr:row>
      <xdr:rowOff>2349500</xdr:rowOff>
    </xdr:to>
    <xdr:pic>
      <xdr:nvPicPr>
        <xdr:cNvPr id="13" name="Picture 12" descr="http://www.shipspotting.com/photos/middle/1/8/2/1429281.jpg">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7969250" y="5845318"/>
          <a:ext cx="3365500" cy="2250932"/>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5</xdr:col>
          <xdr:colOff>9525</xdr:colOff>
          <xdr:row>15</xdr:row>
          <xdr:rowOff>9525</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a:extLst>
                <a:ext uri="{84589F7E-364E-4C9E-8A38-B11213B215E9}">
                  <a14:cameraTool cellRange="batar" spid="_x0000_s4631"/>
                </a:ext>
              </a:extLst>
            </xdr:cNvPicPr>
          </xdr:nvPicPr>
          <xdr:blipFill>
            <a:blip xmlns:r="http://schemas.openxmlformats.org/officeDocument/2006/relationships" r:embed="rId5"/>
            <a:srcRect/>
            <a:stretch>
              <a:fillRect/>
            </a:stretch>
          </xdr:blipFill>
          <xdr:spPr bwMode="auto">
            <a:xfrm>
              <a:off x="7620000" y="17179636"/>
              <a:ext cx="4027343" cy="239943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6</xdr:col>
          <xdr:colOff>9525</xdr:colOff>
          <xdr:row>15</xdr:row>
          <xdr:rowOff>9525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a:extLst>
                <a:ext uri="{84589F7E-364E-4C9E-8A38-B11213B215E9}">
                  <a14:cameraTool cellRange="handling" spid="_x0000_s4632"/>
                </a:ext>
              </a:extLst>
            </xdr:cNvPicPr>
          </xdr:nvPicPr>
          <xdr:blipFill>
            <a:blip xmlns:r="http://schemas.openxmlformats.org/officeDocument/2006/relationships" r:embed="rId6"/>
            <a:srcRect/>
            <a:stretch>
              <a:fillRect/>
            </a:stretch>
          </xdr:blipFill>
          <xdr:spPr bwMode="auto">
            <a:xfrm>
              <a:off x="11639550" y="14801850"/>
              <a:ext cx="4029075" cy="2400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7</xdr:col>
          <xdr:colOff>9525</xdr:colOff>
          <xdr:row>15</xdr:row>
          <xdr:rowOff>9525</xdr:rowOff>
        </xdr:to>
        <xdr:pic>
          <xdr:nvPicPr>
            <xdr:cNvPr id="22" name="Picture 21">
              <a:extLst>
                <a:ext uri="{FF2B5EF4-FFF2-40B4-BE49-F238E27FC236}">
                  <a16:creationId xmlns:a16="http://schemas.microsoft.com/office/drawing/2014/main" id="{00000000-0008-0000-0500-000016000000}"/>
                </a:ext>
              </a:extLst>
            </xdr:cNvPr>
            <xdr:cNvPicPr>
              <a:picLocks noChangeAspect="1" noChangeArrowheads="1"/>
              <a:extLst>
                <a:ext uri="{84589F7E-364E-4C9E-8A38-B11213B215E9}">
                  <a14:cameraTool cellRange="process" spid="_x0000_s4633"/>
                </a:ext>
              </a:extLst>
            </xdr:cNvPicPr>
          </xdr:nvPicPr>
          <xdr:blipFill>
            <a:blip xmlns:r="http://schemas.openxmlformats.org/officeDocument/2006/relationships" r:embed="rId6"/>
            <a:srcRect/>
            <a:stretch>
              <a:fillRect/>
            </a:stretch>
          </xdr:blipFill>
          <xdr:spPr bwMode="auto">
            <a:xfrm>
              <a:off x="15659100" y="14801850"/>
              <a:ext cx="4029075" cy="24003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540328</xdr:colOff>
      <xdr:row>7</xdr:row>
      <xdr:rowOff>46482</xdr:rowOff>
    </xdr:from>
    <xdr:to>
      <xdr:col>5</xdr:col>
      <xdr:colOff>3615934</xdr:colOff>
      <xdr:row>7</xdr:row>
      <xdr:rowOff>2345459</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496801" y="5712991"/>
          <a:ext cx="3075606" cy="2298977"/>
        </a:xfrm>
        <a:prstGeom prst="rect">
          <a:avLst/>
        </a:prstGeom>
      </xdr:spPr>
    </xdr:pic>
    <xdr:clientData/>
  </xdr:twoCellAnchor>
  <xdr:twoCellAnchor editAs="oneCell">
    <xdr:from>
      <xdr:col>6</xdr:col>
      <xdr:colOff>484910</xdr:colOff>
      <xdr:row>7</xdr:row>
      <xdr:rowOff>27681</xdr:rowOff>
    </xdr:from>
    <xdr:to>
      <xdr:col>6</xdr:col>
      <xdr:colOff>3616036</xdr:colOff>
      <xdr:row>8</xdr:row>
      <xdr:rowOff>13984</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583892" y="5694190"/>
          <a:ext cx="3131126" cy="2369285"/>
        </a:xfrm>
        <a:prstGeom prst="rect">
          <a:avLst/>
        </a:prstGeom>
      </xdr:spPr>
    </xdr:pic>
    <xdr:clientData/>
  </xdr:twoCellAnchor>
  <xdr:twoCellAnchor editAs="oneCell">
    <xdr:from>
      <xdr:col>5</xdr:col>
      <xdr:colOff>63500</xdr:colOff>
      <xdr:row>8</xdr:row>
      <xdr:rowOff>79375</xdr:rowOff>
    </xdr:from>
    <xdr:to>
      <xdr:col>5</xdr:col>
      <xdr:colOff>3984625</xdr:colOff>
      <xdr:row>8</xdr:row>
      <xdr:rowOff>2315814</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699875" y="8223250"/>
          <a:ext cx="3921125" cy="2236439"/>
        </a:xfrm>
        <a:prstGeom prst="rect">
          <a:avLst/>
        </a:prstGeom>
      </xdr:spPr>
    </xdr:pic>
    <xdr:clientData/>
  </xdr:twoCellAnchor>
  <xdr:twoCellAnchor editAs="oneCell">
    <xdr:from>
      <xdr:col>5</xdr:col>
      <xdr:colOff>40820</xdr:colOff>
      <xdr:row>9</xdr:row>
      <xdr:rowOff>136071</xdr:rowOff>
    </xdr:from>
    <xdr:to>
      <xdr:col>5</xdr:col>
      <xdr:colOff>3909265</xdr:colOff>
      <xdr:row>9</xdr:row>
      <xdr:rowOff>2313213</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74927" y="10668000"/>
          <a:ext cx="3868445" cy="2177142"/>
        </a:xfrm>
        <a:prstGeom prst="rect">
          <a:avLst/>
        </a:prstGeom>
      </xdr:spPr>
    </xdr:pic>
    <xdr:clientData/>
  </xdr:twoCellAnchor>
  <xdr:twoCellAnchor editAs="oneCell">
    <xdr:from>
      <xdr:col>4</xdr:col>
      <xdr:colOff>51954</xdr:colOff>
      <xdr:row>9</xdr:row>
      <xdr:rowOff>17319</xdr:rowOff>
    </xdr:from>
    <xdr:to>
      <xdr:col>4</xdr:col>
      <xdr:colOff>3785754</xdr:colOff>
      <xdr:row>9</xdr:row>
      <xdr:rowOff>2335977</xdr:rowOff>
    </xdr:to>
    <xdr:pic>
      <xdr:nvPicPr>
        <xdr:cNvPr id="23" name="Picture 22" descr="C:\Users\marvin\AppData\Local\Microsoft\Windows\INetCache\Content.Word\14.Open_without arrows.png">
          <a:extLst>
            <a:ext uri="{FF2B5EF4-FFF2-40B4-BE49-F238E27FC236}">
              <a16:creationId xmlns:a16="http://schemas.microsoft.com/office/drawing/2014/main" id="{00000000-0008-0000-0500-000017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71954" y="10529455"/>
          <a:ext cx="3733800" cy="2318658"/>
        </a:xfrm>
        <a:prstGeom prst="rect">
          <a:avLst/>
        </a:prstGeom>
        <a:noFill/>
        <a:ln>
          <a:noFill/>
        </a:ln>
      </xdr:spPr>
    </xdr:pic>
    <xdr:clientData/>
  </xdr:twoCellAnchor>
  <xdr:twoCellAnchor editAs="oneCell">
    <xdr:from>
      <xdr:col>5</xdr:col>
      <xdr:colOff>81643</xdr:colOff>
      <xdr:row>6</xdr:row>
      <xdr:rowOff>163286</xdr:rowOff>
    </xdr:from>
    <xdr:to>
      <xdr:col>5</xdr:col>
      <xdr:colOff>3947454</xdr:colOff>
      <xdr:row>6</xdr:row>
      <xdr:rowOff>2326822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2"/>
        <a:stretch>
          <a:fillRect/>
        </a:stretch>
      </xdr:blipFill>
      <xdr:spPr>
        <a:xfrm>
          <a:off x="11715750" y="3510643"/>
          <a:ext cx="3865811" cy="2163536"/>
        </a:xfrm>
        <a:prstGeom prst="rect">
          <a:avLst/>
        </a:prstGeom>
      </xdr:spPr>
    </xdr:pic>
    <xdr:clientData/>
  </xdr:twoCellAnchor>
  <xdr:twoCellAnchor editAs="oneCell">
    <xdr:from>
      <xdr:col>6</xdr:col>
      <xdr:colOff>149678</xdr:colOff>
      <xdr:row>6</xdr:row>
      <xdr:rowOff>176894</xdr:rowOff>
    </xdr:from>
    <xdr:to>
      <xdr:col>6</xdr:col>
      <xdr:colOff>3911095</xdr:colOff>
      <xdr:row>6</xdr:row>
      <xdr:rowOff>2286000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3"/>
        <a:stretch>
          <a:fillRect/>
        </a:stretch>
      </xdr:blipFill>
      <xdr:spPr>
        <a:xfrm>
          <a:off x="15797892" y="3524251"/>
          <a:ext cx="3761417" cy="2109106"/>
        </a:xfrm>
        <a:prstGeom prst="rect">
          <a:avLst/>
        </a:prstGeom>
      </xdr:spPr>
    </xdr:pic>
    <xdr:clientData/>
  </xdr:twoCellAnchor>
  <xdr:twoCellAnchor editAs="oneCell">
    <xdr:from>
      <xdr:col>4</xdr:col>
      <xdr:colOff>225136</xdr:colOff>
      <xdr:row>10</xdr:row>
      <xdr:rowOff>155862</xdr:rowOff>
    </xdr:from>
    <xdr:to>
      <xdr:col>4</xdr:col>
      <xdr:colOff>3827317</xdr:colOff>
      <xdr:row>10</xdr:row>
      <xdr:rowOff>2314287</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4"/>
        <a:stretch>
          <a:fillRect/>
        </a:stretch>
      </xdr:blipFill>
      <xdr:spPr>
        <a:xfrm>
          <a:off x="7845136" y="13057907"/>
          <a:ext cx="3602181" cy="2158425"/>
        </a:xfrm>
        <a:prstGeom prst="rect">
          <a:avLst/>
        </a:prstGeom>
      </xdr:spPr>
    </xdr:pic>
    <xdr:clientData/>
  </xdr:twoCellAnchor>
  <xdr:twoCellAnchor editAs="oneCell">
    <xdr:from>
      <xdr:col>5</xdr:col>
      <xdr:colOff>51953</xdr:colOff>
      <xdr:row>10</xdr:row>
      <xdr:rowOff>296228</xdr:rowOff>
    </xdr:from>
    <xdr:to>
      <xdr:col>6</xdr:col>
      <xdr:colOff>34636</xdr:colOff>
      <xdr:row>10</xdr:row>
      <xdr:rowOff>2203523</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a:stretch>
          <a:fillRect/>
        </a:stretch>
      </xdr:blipFill>
      <xdr:spPr>
        <a:xfrm>
          <a:off x="11689771" y="13198273"/>
          <a:ext cx="4000501" cy="1907295"/>
        </a:xfrm>
        <a:prstGeom prst="rect">
          <a:avLst/>
        </a:prstGeom>
      </xdr:spPr>
    </xdr:pic>
    <xdr:clientData/>
  </xdr:twoCellAnchor>
  <xdr:twoCellAnchor editAs="oneCell">
    <xdr:from>
      <xdr:col>6</xdr:col>
      <xdr:colOff>69272</xdr:colOff>
      <xdr:row>10</xdr:row>
      <xdr:rowOff>207820</xdr:rowOff>
    </xdr:from>
    <xdr:to>
      <xdr:col>7</xdr:col>
      <xdr:colOff>5378</xdr:colOff>
      <xdr:row>10</xdr:row>
      <xdr:rowOff>2095500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6"/>
        <a:stretch>
          <a:fillRect/>
        </a:stretch>
      </xdr:blipFill>
      <xdr:spPr>
        <a:xfrm>
          <a:off x="15724908" y="13109865"/>
          <a:ext cx="3953925" cy="1887680"/>
        </a:xfrm>
        <a:prstGeom prst="rect">
          <a:avLst/>
        </a:prstGeom>
      </xdr:spPr>
    </xdr:pic>
    <xdr:clientData/>
  </xdr:twoCellAnchor>
  <xdr:twoCellAnchor editAs="oneCell">
    <xdr:from>
      <xdr:col>4</xdr:col>
      <xdr:colOff>0</xdr:colOff>
      <xdr:row>13</xdr:row>
      <xdr:rowOff>180975</xdr:rowOff>
    </xdr:from>
    <xdr:to>
      <xdr:col>5</xdr:col>
      <xdr:colOff>9525</xdr:colOff>
      <xdr:row>15</xdr:row>
      <xdr:rowOff>0</xdr:rowOff>
    </xdr:to>
    <xdr:sp macro="" textlink="">
      <xdr:nvSpPr>
        <xdr:cNvPr id="4433" name="AutoShape 337">
          <a:extLst>
            <a:ext uri="{FF2B5EF4-FFF2-40B4-BE49-F238E27FC236}">
              <a16:creationId xmlns:a16="http://schemas.microsoft.com/office/drawing/2014/main" id="{00000000-0008-0000-0500-000051110000}"/>
            </a:ext>
          </a:extLst>
        </xdr:cNvPr>
        <xdr:cNvSpPr>
          <a:spLocks noChangeAspect="1" noChangeArrowheads="1"/>
        </xdr:cNvSpPr>
      </xdr:nvSpPr>
      <xdr:spPr bwMode="auto">
        <a:xfrm>
          <a:off x="7620000" y="17183100"/>
          <a:ext cx="4029075" cy="2400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34637</xdr:colOff>
      <xdr:row>9</xdr:row>
      <xdr:rowOff>138545</xdr:rowOff>
    </xdr:from>
    <xdr:to>
      <xdr:col>6</xdr:col>
      <xdr:colOff>3980960</xdr:colOff>
      <xdr:row>9</xdr:row>
      <xdr:rowOff>2355273</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7"/>
        <a:stretch>
          <a:fillRect/>
        </a:stretch>
      </xdr:blipFill>
      <xdr:spPr>
        <a:xfrm>
          <a:off x="15690273" y="10650681"/>
          <a:ext cx="3946323" cy="2216728"/>
        </a:xfrm>
        <a:prstGeom prst="rect">
          <a:avLst/>
        </a:prstGeom>
      </xdr:spPr>
    </xdr:pic>
    <xdr:clientData/>
  </xdr:twoCellAnchor>
  <xdr:twoCellAnchor editAs="oneCell">
    <xdr:from>
      <xdr:col>6</xdr:col>
      <xdr:colOff>69273</xdr:colOff>
      <xdr:row>8</xdr:row>
      <xdr:rowOff>138546</xdr:rowOff>
    </xdr:from>
    <xdr:to>
      <xdr:col>6</xdr:col>
      <xdr:colOff>3861955</xdr:colOff>
      <xdr:row>8</xdr:row>
      <xdr:rowOff>2303548</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8"/>
        <a:stretch>
          <a:fillRect/>
        </a:stretch>
      </xdr:blipFill>
      <xdr:spPr>
        <a:xfrm>
          <a:off x="15724909" y="8260773"/>
          <a:ext cx="3792682" cy="21650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Q56"/>
  <sheetViews>
    <sheetView showGridLines="0" tabSelected="1" zoomScale="70" zoomScaleNormal="70" workbookViewId="0">
      <selection activeCell="D20" sqref="D20"/>
    </sheetView>
  </sheetViews>
  <sheetFormatPr defaultColWidth="9.109375" defaultRowHeight="14.4" x14ac:dyDescent="0.3"/>
  <cols>
    <col min="1" max="1" width="9.44140625" style="13" customWidth="1"/>
    <col min="2" max="2" width="4.44140625" style="13" customWidth="1"/>
    <col min="3" max="3" width="10.5546875" style="13" customWidth="1"/>
    <col min="4" max="4" width="14.88671875" style="13" customWidth="1"/>
    <col min="5" max="5" width="14.109375" style="13" customWidth="1"/>
    <col min="6" max="6" width="12" style="13" customWidth="1"/>
    <col min="7" max="7" width="10" style="13" customWidth="1"/>
    <col min="8" max="8" width="13.44140625" style="13" customWidth="1"/>
    <col min="9" max="10" width="9.109375" style="13"/>
    <col min="11" max="11" width="11.44140625" style="13" customWidth="1"/>
    <col min="12" max="15" width="9.109375" style="13"/>
    <col min="16" max="16" width="9.109375" style="13" customWidth="1"/>
    <col min="17" max="16384" width="9.109375" style="13"/>
  </cols>
  <sheetData>
    <row r="2" spans="2:3" ht="36.6" x14ac:dyDescent="0.7">
      <c r="C2" s="12"/>
    </row>
    <row r="9" spans="2:3" ht="24" customHeight="1" x14ac:dyDescent="0.6">
      <c r="B9" s="27" t="s">
        <v>57</v>
      </c>
    </row>
    <row r="10" spans="2:3" ht="57.75" customHeight="1" x14ac:dyDescent="0.3"/>
    <row r="11" spans="2:3" ht="14.25" customHeight="1" x14ac:dyDescent="0.3"/>
    <row r="12" spans="2:3" hidden="1" x14ac:dyDescent="0.3"/>
    <row r="13" spans="2:3" hidden="1" x14ac:dyDescent="0.3"/>
    <row r="14" spans="2:3" ht="85.5" customHeight="1" x14ac:dyDescent="0.3"/>
    <row r="15" spans="2:3" ht="24.75" customHeight="1" x14ac:dyDescent="0.3"/>
    <row r="17" spans="1:17" x14ac:dyDescent="0.3">
      <c r="C17" s="14" t="s">
        <v>58</v>
      </c>
    </row>
    <row r="19" spans="1:17" ht="21" x14ac:dyDescent="0.4">
      <c r="M19" s="30" t="s">
        <v>70</v>
      </c>
      <c r="N19" s="31"/>
      <c r="O19" s="31"/>
      <c r="P19" s="31"/>
      <c r="Q19" s="31"/>
    </row>
    <row r="20" spans="1:17" ht="16.5" customHeight="1" x14ac:dyDescent="0.4">
      <c r="M20" s="31"/>
      <c r="N20" s="32" t="s">
        <v>20</v>
      </c>
      <c r="O20" s="32">
        <f>'Chemical content'!T45</f>
        <v>0</v>
      </c>
      <c r="P20" s="30" t="s">
        <v>45</v>
      </c>
      <c r="Q20" s="31"/>
    </row>
    <row r="21" spans="1:17" hidden="1" x14ac:dyDescent="0.3"/>
    <row r="22" spans="1:17" x14ac:dyDescent="0.3">
      <c r="C22" s="14" t="s">
        <v>59</v>
      </c>
    </row>
    <row r="23" spans="1:17" x14ac:dyDescent="0.3">
      <c r="E23" s="13" t="s">
        <v>73</v>
      </c>
    </row>
    <row r="24" spans="1:17" ht="15" thickBot="1" x14ac:dyDescent="0.35">
      <c r="C24" s="13" t="s">
        <v>1</v>
      </c>
      <c r="E24" s="28"/>
      <c r="G24" s="15"/>
    </row>
    <row r="25" spans="1:17" ht="15.6" thickTop="1" thickBot="1" x14ac:dyDescent="0.35">
      <c r="C25" s="13" t="s">
        <v>46</v>
      </c>
      <c r="E25" s="29"/>
    </row>
    <row r="26" spans="1:17" ht="15.6" thickTop="1" thickBot="1" x14ac:dyDescent="0.35">
      <c r="C26" s="13" t="s">
        <v>14</v>
      </c>
      <c r="E26" s="29"/>
    </row>
    <row r="27" spans="1:17" ht="29.25" customHeight="1" thickTop="1" x14ac:dyDescent="0.3"/>
    <row r="28" spans="1:17" x14ac:dyDescent="0.3">
      <c r="C28" s="14" t="s">
        <v>60</v>
      </c>
    </row>
    <row r="29" spans="1:17" ht="15.6" x14ac:dyDescent="0.3">
      <c r="A29" s="16"/>
    </row>
    <row r="32" spans="1:17" ht="15.6" x14ac:dyDescent="0.3">
      <c r="C32" s="13" t="s">
        <v>72</v>
      </c>
      <c r="E32" s="70">
        <f>Handling!M10+Handling!M11+Handling!M12+Handling!M13</f>
        <v>0</v>
      </c>
      <c r="F32" s="70"/>
      <c r="G32" s="18"/>
      <c r="H32" s="18"/>
      <c r="L32" s="16"/>
    </row>
    <row r="33" spans="3:12" ht="15.6" x14ac:dyDescent="0.3">
      <c r="F33" s="70"/>
      <c r="G33" s="70"/>
      <c r="H33" s="16"/>
      <c r="L33" s="16"/>
    </row>
    <row r="34" spans="3:12" ht="15.6" x14ac:dyDescent="0.3">
      <c r="C34" s="13" t="s">
        <v>30</v>
      </c>
      <c r="E34" s="71">
        <f>(Handling!P10+Handling!P11+Handling!P12+Handling!P13)</f>
        <v>0</v>
      </c>
      <c r="F34" s="71"/>
      <c r="G34" s="23"/>
      <c r="H34" s="23"/>
    </row>
    <row r="35" spans="3:12" ht="15.6" x14ac:dyDescent="0.3">
      <c r="C35" s="15" t="str">
        <f>IF(AND(OR('Chemical content'!I4=5,'Chemical content'!I4=6),'Chemical content'!L4=2),"The productionline cannot be improved","")</f>
        <v/>
      </c>
      <c r="F35" s="16"/>
      <c r="G35" s="16"/>
      <c r="H35" s="16"/>
    </row>
    <row r="37" spans="3:12" ht="42" customHeight="1" x14ac:dyDescent="0.3">
      <c r="C37" s="14" t="s">
        <v>61</v>
      </c>
      <c r="F37" s="17"/>
      <c r="G37" s="14" t="s">
        <v>62</v>
      </c>
    </row>
    <row r="38" spans="3:12" ht="15.6" x14ac:dyDescent="0.3">
      <c r="C38" s="13" t="s">
        <v>94</v>
      </c>
      <c r="D38" s="38">
        <f>IF('Chemical content'!R4&gt;1,'Chemical content'!Z8*'Chemical content'!M20+'Chemical content'!Z9*'Chemical content'!M21+'Chemical content'!Z10*'Chemical content'!M22,0)</f>
        <v>0</v>
      </c>
      <c r="E38" s="38" t="s">
        <v>15</v>
      </c>
      <c r="F38" s="16"/>
      <c r="G38" s="13" t="s">
        <v>20</v>
      </c>
      <c r="H38" s="38">
        <f>IF('Chemical content'!W4=1,'Chemical content'!M20*'Chemical content'!AB8+'Chemical content'!AB9*'Chemical content'!M21,0)</f>
        <v>0</v>
      </c>
      <c r="I38" s="38" t="s">
        <v>15</v>
      </c>
    </row>
    <row r="39" spans="3:12" x14ac:dyDescent="0.3">
      <c r="C39" s="13" t="s">
        <v>75</v>
      </c>
      <c r="E39" s="15" t="str">
        <f>IF(AND(E49=0,'Chemical content'!R4&gt;1,SUM('Chemical content'!Z8:Z10)&gt;1),"Not available","")</f>
        <v/>
      </c>
      <c r="G39" s="13" t="s">
        <v>53</v>
      </c>
    </row>
    <row r="43" spans="3:12" x14ac:dyDescent="0.3">
      <c r="C43" s="15"/>
    </row>
    <row r="45" spans="3:12" ht="15.6" x14ac:dyDescent="0.3">
      <c r="H45" s="15" t="str">
        <f>IF(OR('Chemical content'!H59&gt;0,'Chemical content'!I59&gt;0),"Error: Select appropriate boxes","")</f>
        <v/>
      </c>
      <c r="I45" s="20"/>
    </row>
    <row r="46" spans="3:12" ht="15.6" x14ac:dyDescent="0.3">
      <c r="H46" s="15" t="str">
        <f>IF(OR('Chemical content'!AC8&gt;1,'Chemical content'!AC9&gt;1,'Chemical content'!AC10&gt;1),"Error: You have ticked twice in the same box","")</f>
        <v/>
      </c>
      <c r="I46" s="20"/>
    </row>
    <row r="48" spans="3:12" ht="15.6" x14ac:dyDescent="0.3">
      <c r="E48" s="15"/>
      <c r="G48" s="16"/>
      <c r="H48" s="17"/>
    </row>
    <row r="49" spans="3:9" ht="15.6" x14ac:dyDescent="0.3">
      <c r="C49" s="13" t="s">
        <v>111</v>
      </c>
      <c r="E49" s="70">
        <f>Processing!F52</f>
        <v>0</v>
      </c>
      <c r="F49" s="70"/>
      <c r="H49" s="70">
        <f>IF('Chemical content'!W4=1,landings.uuc.mcrs!L15,0)</f>
        <v>0</v>
      </c>
      <c r="I49" s="70"/>
    </row>
    <row r="50" spans="3:9" ht="15.6" x14ac:dyDescent="0.3">
      <c r="C50" s="13" t="s">
        <v>30</v>
      </c>
      <c r="E50" s="71">
        <f>IF(E49=0,0,Processing!E63)</f>
        <v>0</v>
      </c>
      <c r="F50" s="71"/>
      <c r="H50" s="71">
        <v>0</v>
      </c>
      <c r="I50" s="71"/>
    </row>
    <row r="53" spans="3:9" ht="21" customHeight="1" x14ac:dyDescent="0.4">
      <c r="C53" s="78" t="s">
        <v>115</v>
      </c>
      <c r="E53" s="73">
        <f>E32+E49+H49</f>
        <v>0</v>
      </c>
      <c r="F53" s="73"/>
      <c r="G53" s="73"/>
      <c r="H53" s="26"/>
    </row>
    <row r="54" spans="3:9" ht="21" customHeight="1" x14ac:dyDescent="0.4">
      <c r="C54" s="13" t="s">
        <v>112</v>
      </c>
      <c r="E54" s="72">
        <f>E50+E34+H50</f>
        <v>0</v>
      </c>
      <c r="F54" s="72"/>
      <c r="G54" s="72"/>
      <c r="H54" s="21"/>
    </row>
    <row r="55" spans="3:9" ht="21" x14ac:dyDescent="0.4">
      <c r="F55" s="21"/>
      <c r="G55" s="21"/>
      <c r="H55" s="16"/>
    </row>
    <row r="56" spans="3:9" ht="15.6" x14ac:dyDescent="0.3">
      <c r="G56" s="19"/>
      <c r="H56" s="19"/>
    </row>
  </sheetData>
  <mergeCells count="9">
    <mergeCell ref="E32:F32"/>
    <mergeCell ref="H49:I49"/>
    <mergeCell ref="H50:I50"/>
    <mergeCell ref="F33:G33"/>
    <mergeCell ref="E54:G54"/>
    <mergeCell ref="E49:F49"/>
    <mergeCell ref="E50:F50"/>
    <mergeCell ref="E53:G53"/>
    <mergeCell ref="E34:F34"/>
  </mergeCells>
  <conditionalFormatting sqref="E49:F49 H49:I49 E53:G53">
    <cfRule type="cellIs" dxfId="1" priority="2" operator="lessThan">
      <formula>"o"</formula>
    </cfRule>
  </conditionalFormatting>
  <conditionalFormatting sqref="E49:I49 E53:G53">
    <cfRule type="cellIs" dxfId="0" priority="1" operator="lessThan">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2</xdr:col>
                    <xdr:colOff>22860</xdr:colOff>
                    <xdr:row>17</xdr:row>
                    <xdr:rowOff>68580</xdr:rowOff>
                  </from>
                  <to>
                    <xdr:col>5</xdr:col>
                    <xdr:colOff>502920</xdr:colOff>
                    <xdr:row>18</xdr:row>
                    <xdr:rowOff>198120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2</xdr:col>
                    <xdr:colOff>22860</xdr:colOff>
                    <xdr:row>28</xdr:row>
                    <xdr:rowOff>68580</xdr:rowOff>
                  </from>
                  <to>
                    <xdr:col>5</xdr:col>
                    <xdr:colOff>38100</xdr:colOff>
                    <xdr:row>30</xdr:row>
                    <xdr:rowOff>30480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2</xdr:col>
                    <xdr:colOff>99060</xdr:colOff>
                    <xdr:row>40</xdr:row>
                    <xdr:rowOff>7620</xdr:rowOff>
                  </from>
                  <to>
                    <xdr:col>5</xdr:col>
                    <xdr:colOff>106680</xdr:colOff>
                    <xdr:row>41</xdr:row>
                    <xdr:rowOff>160020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2</xdr:col>
                    <xdr:colOff>312420</xdr:colOff>
                    <xdr:row>42</xdr:row>
                    <xdr:rowOff>152400</xdr:rowOff>
                  </from>
                  <to>
                    <xdr:col>3</xdr:col>
                    <xdr:colOff>251460</xdr:colOff>
                    <xdr:row>44</xdr:row>
                    <xdr:rowOff>99060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2</xdr:col>
                    <xdr:colOff>312420</xdr:colOff>
                    <xdr:row>45</xdr:row>
                    <xdr:rowOff>182880</xdr:rowOff>
                  </from>
                  <to>
                    <xdr:col>3</xdr:col>
                    <xdr:colOff>723900</xdr:colOff>
                    <xdr:row>47</xdr:row>
                    <xdr:rowOff>106680</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2</xdr:col>
                    <xdr:colOff>304800</xdr:colOff>
                    <xdr:row>44</xdr:row>
                    <xdr:rowOff>45720</xdr:rowOff>
                  </from>
                  <to>
                    <xdr:col>3</xdr:col>
                    <xdr:colOff>251460</xdr:colOff>
                    <xdr:row>45</xdr:row>
                    <xdr:rowOff>160020</xdr:rowOff>
                  </to>
                </anchor>
              </controlPr>
            </control>
          </mc:Choice>
        </mc:AlternateContent>
        <mc:AlternateContent xmlns:mc="http://schemas.openxmlformats.org/markup-compatibility/2006">
          <mc:Choice Requires="x14">
            <control shapeId="1032" r:id="rId10" name="Drop Down 8">
              <controlPr defaultSize="0" autoLine="0" autoPict="0">
                <anchor moveWithCells="1">
                  <from>
                    <xdr:col>5</xdr:col>
                    <xdr:colOff>502920</xdr:colOff>
                    <xdr:row>40</xdr:row>
                    <xdr:rowOff>7620</xdr:rowOff>
                  </from>
                  <to>
                    <xdr:col>9</xdr:col>
                    <xdr:colOff>182880</xdr:colOff>
                    <xdr:row>41</xdr:row>
                    <xdr:rowOff>160020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5</xdr:col>
                    <xdr:colOff>571500</xdr:colOff>
                    <xdr:row>42</xdr:row>
                    <xdr:rowOff>175260</xdr:rowOff>
                  </from>
                  <to>
                    <xdr:col>6</xdr:col>
                    <xdr:colOff>441960</xdr:colOff>
                    <xdr:row>44</xdr:row>
                    <xdr:rowOff>106680</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5</xdr:col>
                    <xdr:colOff>563880</xdr:colOff>
                    <xdr:row>44</xdr:row>
                    <xdr:rowOff>68580</xdr:rowOff>
                  </from>
                  <to>
                    <xdr:col>6</xdr:col>
                    <xdr:colOff>579120</xdr:colOff>
                    <xdr:row>45</xdr:row>
                    <xdr:rowOff>182880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3:AL59"/>
  <sheetViews>
    <sheetView zoomScale="70" zoomScaleNormal="70" workbookViewId="0">
      <selection activeCell="I4" sqref="I4"/>
    </sheetView>
  </sheetViews>
  <sheetFormatPr defaultRowHeight="14.4" x14ac:dyDescent="0.3"/>
  <cols>
    <col min="5" max="5" width="29.6640625" customWidth="1"/>
    <col min="7" max="7" width="15.88671875" customWidth="1"/>
    <col min="8" max="8" width="12.33203125" customWidth="1"/>
    <col min="9" max="9" width="15.109375" customWidth="1"/>
    <col min="10" max="10" width="23" customWidth="1"/>
    <col min="18" max="18" width="16.6640625" customWidth="1"/>
    <col min="24" max="24" width="16.44140625" customWidth="1"/>
  </cols>
  <sheetData>
    <row r="3" spans="5:38" x14ac:dyDescent="0.3">
      <c r="E3" s="1" t="s">
        <v>0</v>
      </c>
      <c r="H3" t="s">
        <v>4</v>
      </c>
      <c r="J3" s="1" t="s">
        <v>26</v>
      </c>
      <c r="K3" t="s">
        <v>4</v>
      </c>
      <c r="N3" s="1" t="s">
        <v>28</v>
      </c>
      <c r="Q3" t="s">
        <v>4</v>
      </c>
      <c r="T3" s="1" t="s">
        <v>47</v>
      </c>
      <c r="V3" t="s">
        <v>4</v>
      </c>
      <c r="Z3" t="s">
        <v>79</v>
      </c>
      <c r="AA3" t="s">
        <v>50</v>
      </c>
      <c r="AB3" t="s">
        <v>47</v>
      </c>
    </row>
    <row r="4" spans="5:38" x14ac:dyDescent="0.3">
      <c r="E4" t="s">
        <v>5</v>
      </c>
      <c r="H4">
        <v>1</v>
      </c>
      <c r="I4">
        <v>1</v>
      </c>
      <c r="J4" t="s">
        <v>5</v>
      </c>
      <c r="K4">
        <v>1</v>
      </c>
      <c r="L4">
        <v>1</v>
      </c>
      <c r="N4" t="s">
        <v>5</v>
      </c>
      <c r="Q4">
        <v>1</v>
      </c>
      <c r="R4">
        <v>1</v>
      </c>
      <c r="T4" t="s">
        <v>48</v>
      </c>
      <c r="V4">
        <v>1</v>
      </c>
      <c r="W4">
        <v>2</v>
      </c>
      <c r="Y4" t="s">
        <v>51</v>
      </c>
      <c r="Z4" t="b">
        <v>1</v>
      </c>
      <c r="AB4" t="b">
        <v>0</v>
      </c>
    </row>
    <row r="5" spans="5:38" x14ac:dyDescent="0.3">
      <c r="E5" t="s">
        <v>6</v>
      </c>
      <c r="H5">
        <v>2</v>
      </c>
      <c r="J5" t="s">
        <v>27</v>
      </c>
      <c r="K5">
        <v>2</v>
      </c>
      <c r="N5" t="s">
        <v>109</v>
      </c>
      <c r="Q5">
        <v>2</v>
      </c>
      <c r="T5" t="s">
        <v>49</v>
      </c>
      <c r="V5">
        <v>2</v>
      </c>
      <c r="Y5" t="s">
        <v>46</v>
      </c>
      <c r="Z5" t="b">
        <v>1</v>
      </c>
      <c r="AB5" t="b">
        <v>0</v>
      </c>
    </row>
    <row r="6" spans="5:38" x14ac:dyDescent="0.3">
      <c r="E6" t="s">
        <v>7</v>
      </c>
      <c r="H6">
        <v>3</v>
      </c>
      <c r="K6">
        <v>3</v>
      </c>
      <c r="N6" t="s">
        <v>93</v>
      </c>
      <c r="Q6">
        <v>3</v>
      </c>
      <c r="Y6" t="s">
        <v>52</v>
      </c>
      <c r="Z6" t="b">
        <v>1</v>
      </c>
    </row>
    <row r="7" spans="5:38" x14ac:dyDescent="0.3">
      <c r="E7" t="s">
        <v>8</v>
      </c>
      <c r="H7">
        <v>4</v>
      </c>
      <c r="K7">
        <v>4</v>
      </c>
      <c r="N7" t="s">
        <v>76</v>
      </c>
      <c r="Q7">
        <v>4</v>
      </c>
    </row>
    <row r="8" spans="5:38" x14ac:dyDescent="0.3">
      <c r="E8" t="s">
        <v>9</v>
      </c>
      <c r="H8">
        <v>5</v>
      </c>
      <c r="K8">
        <v>5</v>
      </c>
      <c r="N8" t="s">
        <v>77</v>
      </c>
      <c r="Q8">
        <v>5</v>
      </c>
      <c r="Y8" t="s">
        <v>51</v>
      </c>
      <c r="Z8">
        <f>IF(Z4=TRUE,1,0)</f>
        <v>1</v>
      </c>
      <c r="AB8">
        <f t="shared" ref="AB8" si="0">IF(AB4=TRUE,1,0)</f>
        <v>0</v>
      </c>
      <c r="AC8" s="1">
        <f>SUM(Z8:AB8)</f>
        <v>1</v>
      </c>
      <c r="AD8">
        <f>IF(AC8=2,0,1)</f>
        <v>1</v>
      </c>
      <c r="AF8">
        <f>IF(Z8=1,0,1)*AB8</f>
        <v>0</v>
      </c>
    </row>
    <row r="9" spans="5:38" x14ac:dyDescent="0.3">
      <c r="E9" t="s">
        <v>74</v>
      </c>
      <c r="H9">
        <v>6</v>
      </c>
      <c r="N9" t="s">
        <v>78</v>
      </c>
      <c r="Q9">
        <v>6</v>
      </c>
      <c r="Y9" t="s">
        <v>46</v>
      </c>
      <c r="Z9">
        <f t="shared" ref="Z9:AB9" si="1">IF(Z5=TRUE,1,0)</f>
        <v>1</v>
      </c>
      <c r="AB9">
        <f t="shared" si="1"/>
        <v>0</v>
      </c>
      <c r="AC9" s="1">
        <f t="shared" ref="AC9:AC10" si="2">SUM(Z9:AB9)</f>
        <v>1</v>
      </c>
      <c r="AD9">
        <f t="shared" ref="AD9:AD10" si="3">IF(AC9=2,0,1)</f>
        <v>1</v>
      </c>
      <c r="AF9">
        <f t="shared" ref="AF9:AF10" si="4">IF(Z9=1,0,1)*AB9</f>
        <v>0</v>
      </c>
    </row>
    <row r="10" spans="5:38" x14ac:dyDescent="0.3">
      <c r="Y10" t="s">
        <v>52</v>
      </c>
      <c r="Z10">
        <f t="shared" ref="Z10:AB10" si="5">IF(Z6=TRUE,1,0)</f>
        <v>1</v>
      </c>
      <c r="AB10">
        <f t="shared" si="5"/>
        <v>0</v>
      </c>
      <c r="AC10" s="1">
        <f t="shared" si="2"/>
        <v>1</v>
      </c>
      <c r="AD10">
        <f t="shared" si="3"/>
        <v>1</v>
      </c>
      <c r="AF10">
        <f t="shared" si="4"/>
        <v>0</v>
      </c>
    </row>
    <row r="12" spans="5:38" ht="46.2" x14ac:dyDescent="0.85">
      <c r="M12" s="24" t="s">
        <v>43</v>
      </c>
      <c r="V12" s="24" t="s">
        <v>79</v>
      </c>
    </row>
    <row r="13" spans="5:38" ht="46.2" x14ac:dyDescent="0.85">
      <c r="E13" s="5" t="s">
        <v>7</v>
      </c>
      <c r="F13" s="5"/>
      <c r="G13" s="5"/>
      <c r="H13" s="5"/>
      <c r="I13" s="5"/>
      <c r="J13" s="5"/>
      <c r="K13" s="4"/>
      <c r="L13" s="4"/>
      <c r="M13" s="4" t="s">
        <v>20</v>
      </c>
      <c r="N13" s="4"/>
      <c r="O13" s="4" t="s">
        <v>15</v>
      </c>
      <c r="P13" s="4" t="s">
        <v>15</v>
      </c>
      <c r="Q13" s="4" t="s">
        <v>15</v>
      </c>
      <c r="R13" s="4" t="s">
        <v>15</v>
      </c>
      <c r="S13" s="4"/>
      <c r="T13" s="4"/>
      <c r="AE13" s="24" t="s">
        <v>54</v>
      </c>
    </row>
    <row r="14" spans="5:38" ht="46.2" x14ac:dyDescent="0.85">
      <c r="E14" s="5"/>
      <c r="F14" s="5"/>
      <c r="G14" s="6" t="s">
        <v>10</v>
      </c>
      <c r="H14" s="6" t="s">
        <v>11</v>
      </c>
      <c r="I14" s="6" t="s">
        <v>12</v>
      </c>
      <c r="J14" s="6" t="s">
        <v>13</v>
      </c>
      <c r="K14" s="4"/>
      <c r="L14" s="4"/>
      <c r="M14" s="4"/>
      <c r="N14" s="4"/>
      <c r="O14" s="4" t="s">
        <v>16</v>
      </c>
      <c r="P14" s="4" t="s">
        <v>17</v>
      </c>
      <c r="Q14" s="4" t="s">
        <v>18</v>
      </c>
      <c r="R14" s="4" t="s">
        <v>19</v>
      </c>
      <c r="S14" s="4"/>
      <c r="T14" s="4"/>
      <c r="V14" s="24"/>
      <c r="AE14" s="24"/>
    </row>
    <row r="15" spans="5:38" x14ac:dyDescent="0.3">
      <c r="E15" s="5" t="s">
        <v>1</v>
      </c>
      <c r="F15" s="9"/>
      <c r="G15" s="7">
        <v>0.73</v>
      </c>
      <c r="H15" s="7">
        <v>0.18</v>
      </c>
      <c r="I15" s="7">
        <v>0.08</v>
      </c>
      <c r="J15" s="7">
        <v>0.01</v>
      </c>
      <c r="K15" s="4"/>
      <c r="L15" s="4"/>
      <c r="M15" s="4">
        <f>M20</f>
        <v>0</v>
      </c>
      <c r="N15" s="4"/>
      <c r="O15" s="4">
        <f>IF($I$4=2,1,0)*G15*$M$15</f>
        <v>0</v>
      </c>
      <c r="P15" s="4">
        <f t="shared" ref="P15:R15" si="6">IF($I$4=2,1,0)*H15*$M$15</f>
        <v>0</v>
      </c>
      <c r="Q15" s="4">
        <f t="shared" si="6"/>
        <v>0</v>
      </c>
      <c r="R15" s="4">
        <f t="shared" si="6"/>
        <v>0</v>
      </c>
      <c r="S15" s="4"/>
      <c r="T15" s="4"/>
    </row>
    <row r="16" spans="5:38" x14ac:dyDescent="0.3">
      <c r="E16" s="5" t="s">
        <v>2</v>
      </c>
      <c r="F16" s="9"/>
      <c r="G16" s="7">
        <v>0.75</v>
      </c>
      <c r="H16" s="7">
        <v>0.18</v>
      </c>
      <c r="I16" s="7">
        <v>0.04</v>
      </c>
      <c r="J16" s="7">
        <v>0.03</v>
      </c>
      <c r="K16" s="4"/>
      <c r="L16" s="4"/>
      <c r="M16" s="4">
        <f t="shared" ref="M16:M17" si="7">M21</f>
        <v>0</v>
      </c>
      <c r="N16" s="4"/>
      <c r="O16" s="4">
        <f>IF($I$4=2,1,0)*G16*$M$16</f>
        <v>0</v>
      </c>
      <c r="P16" s="4">
        <f t="shared" ref="P16:R16" si="8">IF($I$4=2,1,0)*H16*$M$16</f>
        <v>0</v>
      </c>
      <c r="Q16" s="4">
        <f t="shared" si="8"/>
        <v>0</v>
      </c>
      <c r="R16" s="4">
        <f t="shared" si="8"/>
        <v>0</v>
      </c>
      <c r="S16" s="4"/>
      <c r="T16" s="4"/>
      <c r="V16" s="5" t="s">
        <v>20</v>
      </c>
      <c r="W16" s="5"/>
      <c r="X16" s="5" t="s">
        <v>15</v>
      </c>
      <c r="Y16" s="5" t="s">
        <v>15</v>
      </c>
      <c r="Z16" s="5" t="s">
        <v>15</v>
      </c>
      <c r="AA16" s="5" t="s">
        <v>15</v>
      </c>
      <c r="AB16" s="4"/>
      <c r="AC16" s="4"/>
      <c r="AE16" s="5" t="s">
        <v>20</v>
      </c>
      <c r="AF16" s="5"/>
      <c r="AG16" s="5" t="s">
        <v>15</v>
      </c>
      <c r="AH16" s="5" t="s">
        <v>15</v>
      </c>
      <c r="AI16" s="5" t="s">
        <v>15</v>
      </c>
      <c r="AJ16" s="5" t="s">
        <v>15</v>
      </c>
      <c r="AK16" s="4"/>
      <c r="AL16" s="4"/>
    </row>
    <row r="17" spans="3:38" x14ac:dyDescent="0.3">
      <c r="E17" s="8" t="s">
        <v>3</v>
      </c>
      <c r="F17" s="9"/>
      <c r="G17" s="10">
        <v>0.83</v>
      </c>
      <c r="H17" s="10">
        <v>0.1</v>
      </c>
      <c r="I17" s="10">
        <v>0.04</v>
      </c>
      <c r="J17" s="10">
        <v>0.03</v>
      </c>
      <c r="K17" s="4"/>
      <c r="L17" s="4"/>
      <c r="M17" s="4">
        <f t="shared" si="7"/>
        <v>0</v>
      </c>
      <c r="N17" s="4"/>
      <c r="O17" s="4">
        <f>IF($I$4=2,1,0)*G17*$M$17</f>
        <v>0</v>
      </c>
      <c r="P17" s="4">
        <f t="shared" ref="P17:R17" si="9">IF($I$4=2,1,0)*H17*$M$17</f>
        <v>0</v>
      </c>
      <c r="Q17" s="4">
        <f t="shared" si="9"/>
        <v>0</v>
      </c>
      <c r="R17" s="4">
        <f t="shared" si="9"/>
        <v>0</v>
      </c>
      <c r="S17" s="4"/>
      <c r="T17" s="4"/>
      <c r="V17" s="5"/>
      <c r="W17" s="5"/>
      <c r="X17" s="5" t="s">
        <v>16</v>
      </c>
      <c r="Y17" s="5" t="s">
        <v>17</v>
      </c>
      <c r="Z17" s="5" t="s">
        <v>18</v>
      </c>
      <c r="AA17" s="5" t="s">
        <v>19</v>
      </c>
      <c r="AB17" s="4"/>
      <c r="AC17" s="4"/>
      <c r="AE17" s="5"/>
      <c r="AF17" s="5"/>
      <c r="AG17" s="5" t="s">
        <v>16</v>
      </c>
      <c r="AH17" s="5" t="s">
        <v>17</v>
      </c>
      <c r="AI17" s="5" t="s">
        <v>18</v>
      </c>
      <c r="AJ17" s="5" t="s">
        <v>19</v>
      </c>
      <c r="AK17" s="4"/>
      <c r="AL17" s="4"/>
    </row>
    <row r="18" spans="3:38" x14ac:dyDescent="0.3">
      <c r="C18" t="s">
        <v>31</v>
      </c>
      <c r="E18" s="5" t="s">
        <v>7</v>
      </c>
      <c r="F18" s="5"/>
      <c r="G18" s="5"/>
      <c r="H18" s="5"/>
      <c r="I18" s="5"/>
      <c r="J18" s="5"/>
      <c r="K18" s="4"/>
      <c r="L18" s="4"/>
      <c r="M18" s="4"/>
      <c r="N18" s="4"/>
      <c r="O18" s="4"/>
      <c r="P18" s="4"/>
      <c r="Q18" s="4"/>
      <c r="R18" s="4"/>
      <c r="S18" s="4"/>
      <c r="T18" s="4"/>
      <c r="V18" s="4"/>
      <c r="W18" s="4"/>
      <c r="X18" s="4"/>
      <c r="Y18" s="4"/>
      <c r="Z18" s="4"/>
      <c r="AA18" s="4"/>
      <c r="AB18" s="4"/>
      <c r="AC18" s="4"/>
      <c r="AE18" s="4"/>
      <c r="AF18" s="4"/>
      <c r="AG18" s="4"/>
      <c r="AH18" s="4"/>
      <c r="AI18" s="4"/>
      <c r="AJ18" s="4"/>
      <c r="AK18" s="4"/>
      <c r="AL18" s="4"/>
    </row>
    <row r="19" spans="3:38" x14ac:dyDescent="0.3">
      <c r="E19" s="5"/>
      <c r="F19" s="5"/>
      <c r="G19" s="6" t="s">
        <v>10</v>
      </c>
      <c r="H19" s="6" t="s">
        <v>11</v>
      </c>
      <c r="I19" s="6" t="s">
        <v>12</v>
      </c>
      <c r="J19" s="6" t="s">
        <v>13</v>
      </c>
      <c r="K19" s="4"/>
      <c r="L19" s="4"/>
      <c r="M19" s="4"/>
      <c r="N19" s="4"/>
      <c r="O19" s="4"/>
      <c r="P19" s="4"/>
      <c r="Q19" s="4"/>
      <c r="R19" s="4"/>
      <c r="S19" s="4"/>
      <c r="T19" s="4"/>
      <c r="V19" s="4"/>
      <c r="W19" s="4"/>
      <c r="X19" s="4"/>
      <c r="Y19" s="4"/>
      <c r="Z19" s="4"/>
      <c r="AA19" s="4"/>
      <c r="AB19" s="4"/>
      <c r="AC19" s="4"/>
      <c r="AE19" s="4"/>
      <c r="AF19" s="4"/>
      <c r="AG19" s="4"/>
      <c r="AH19" s="4"/>
      <c r="AI19" s="4"/>
      <c r="AJ19" s="4"/>
      <c r="AK19" s="4"/>
      <c r="AL19" s="4"/>
    </row>
    <row r="20" spans="3:38" x14ac:dyDescent="0.3">
      <c r="E20" s="5" t="s">
        <v>1</v>
      </c>
      <c r="F20" s="9"/>
      <c r="G20" s="7">
        <v>0.73</v>
      </c>
      <c r="H20" s="7">
        <v>0.18</v>
      </c>
      <c r="I20" s="7">
        <v>0.08</v>
      </c>
      <c r="J20" s="7">
        <v>0.01</v>
      </c>
      <c r="K20" s="4"/>
      <c r="L20" s="4"/>
      <c r="M20" s="4">
        <f>Front!E24</f>
        <v>0</v>
      </c>
      <c r="N20" s="4"/>
      <c r="O20" s="4">
        <f>IF($I$4=3,1,0)*G20*$M$20</f>
        <v>0</v>
      </c>
      <c r="P20" s="4">
        <f>IF($I$4=3,1,0)*H20*$M$20</f>
        <v>0</v>
      </c>
      <c r="Q20" s="4">
        <f>IF($I$4=3,1,0)*I20*$M$20</f>
        <v>0</v>
      </c>
      <c r="R20" s="4">
        <f>IF($I$4=3,1,0)*J20*$M$20</f>
        <v>0</v>
      </c>
      <c r="S20" s="4"/>
      <c r="T20" s="4"/>
      <c r="V20" s="4">
        <f>M20*Z8</f>
        <v>0</v>
      </c>
      <c r="W20" s="4"/>
      <c r="X20" s="4">
        <f>$Z$8*O20</f>
        <v>0</v>
      </c>
      <c r="Y20" s="4">
        <f t="shared" ref="Y20:AA20" si="10">$Z$8*P20</f>
        <v>0</v>
      </c>
      <c r="Z20" s="4">
        <f t="shared" si="10"/>
        <v>0</v>
      </c>
      <c r="AA20" s="4">
        <f t="shared" si="10"/>
        <v>0</v>
      </c>
      <c r="AB20" s="4"/>
      <c r="AC20" s="4"/>
      <c r="AE20" s="4">
        <f>M20*AB8</f>
        <v>0</v>
      </c>
      <c r="AF20" s="4"/>
      <c r="AG20" s="4">
        <f>O20*$AF$8</f>
        <v>0</v>
      </c>
      <c r="AH20" s="4">
        <f t="shared" ref="AH20:AJ20" si="11">P20*$AF$8</f>
        <v>0</v>
      </c>
      <c r="AI20" s="4">
        <f t="shared" si="11"/>
        <v>0</v>
      </c>
      <c r="AJ20" s="4">
        <f t="shared" si="11"/>
        <v>0</v>
      </c>
      <c r="AK20" s="4"/>
      <c r="AL20" s="4"/>
    </row>
    <row r="21" spans="3:38" x14ac:dyDescent="0.3">
      <c r="E21" s="5" t="s">
        <v>2</v>
      </c>
      <c r="F21" s="9"/>
      <c r="G21" s="7">
        <v>0.75</v>
      </c>
      <c r="H21" s="7">
        <v>0.18</v>
      </c>
      <c r="I21" s="7">
        <v>0.04</v>
      </c>
      <c r="J21" s="7">
        <v>0.03</v>
      </c>
      <c r="K21" s="4"/>
      <c r="L21" s="4"/>
      <c r="M21" s="4">
        <f>Front!E25</f>
        <v>0</v>
      </c>
      <c r="N21" s="4"/>
      <c r="O21" s="4">
        <f>IF($I$4=3,1,0)*G21*$M$21</f>
        <v>0</v>
      </c>
      <c r="P21" s="4">
        <f>IF($I$4=3,1,0)*H21*$M$21</f>
        <v>0</v>
      </c>
      <c r="Q21" s="4">
        <f>IF($I$4=3,1,0)*I21*$M$21</f>
        <v>0</v>
      </c>
      <c r="R21" s="4">
        <f>IF($I$4=3,1,0)*J21*$M$21</f>
        <v>0</v>
      </c>
      <c r="S21" s="4"/>
      <c r="T21" s="4"/>
      <c r="V21" s="4">
        <f>M21*Z9</f>
        <v>0</v>
      </c>
      <c r="W21" s="4"/>
      <c r="X21" s="4">
        <f>$Z$9*O21</f>
        <v>0</v>
      </c>
      <c r="Y21" s="4">
        <f t="shared" ref="Y21:AA21" si="12">$Z$9*P21</f>
        <v>0</v>
      </c>
      <c r="Z21" s="4">
        <f t="shared" si="12"/>
        <v>0</v>
      </c>
      <c r="AA21" s="4">
        <f t="shared" si="12"/>
        <v>0</v>
      </c>
      <c r="AB21" s="4"/>
      <c r="AC21" s="4"/>
      <c r="AE21" s="4">
        <f>M21*AB9</f>
        <v>0</v>
      </c>
      <c r="AF21" s="4"/>
      <c r="AG21" s="4">
        <f>$AF$9*O21</f>
        <v>0</v>
      </c>
      <c r="AH21" s="4">
        <f t="shared" ref="AH21:AJ21" si="13">$AF$9*P21</f>
        <v>0</v>
      </c>
      <c r="AI21" s="4">
        <f t="shared" si="13"/>
        <v>0</v>
      </c>
      <c r="AJ21" s="4">
        <f t="shared" si="13"/>
        <v>0</v>
      </c>
      <c r="AK21" s="4"/>
      <c r="AL21" s="4"/>
    </row>
    <row r="22" spans="3:38" x14ac:dyDescent="0.3">
      <c r="E22" s="8" t="s">
        <v>3</v>
      </c>
      <c r="F22" s="9"/>
      <c r="G22" s="10">
        <v>0.83</v>
      </c>
      <c r="H22" s="10">
        <v>0.1</v>
      </c>
      <c r="I22" s="10">
        <v>0.04</v>
      </c>
      <c r="J22" s="10">
        <v>0.03</v>
      </c>
      <c r="K22" s="4"/>
      <c r="L22" s="4"/>
      <c r="M22" s="4">
        <f>Front!E26</f>
        <v>0</v>
      </c>
      <c r="N22" s="4"/>
      <c r="O22" s="4">
        <f>IF($I$4=3,1,0)*G22*$M$22</f>
        <v>0</v>
      </c>
      <c r="P22" s="4">
        <f>IF($I$4=3,1,0)*H22*$M$22</f>
        <v>0</v>
      </c>
      <c r="Q22" s="4">
        <f>IF($I$4=3,1,0)*I22*$M$22</f>
        <v>0</v>
      </c>
      <c r="R22" s="4">
        <f>IF($I$4=3,1,0)*J22*$M$22</f>
        <v>0</v>
      </c>
      <c r="S22" s="4"/>
      <c r="T22" s="4"/>
      <c r="V22" s="4">
        <f>M22*Z10</f>
        <v>0</v>
      </c>
      <c r="W22" s="4"/>
      <c r="X22" s="4">
        <f>$Z$10*O22</f>
        <v>0</v>
      </c>
      <c r="Y22" s="4">
        <f t="shared" ref="Y22:AA22" si="14">$Z$10*P22</f>
        <v>0</v>
      </c>
      <c r="Z22" s="4">
        <f t="shared" si="14"/>
        <v>0</v>
      </c>
      <c r="AA22" s="4">
        <f t="shared" si="14"/>
        <v>0</v>
      </c>
      <c r="AB22" s="4"/>
      <c r="AC22" s="4"/>
      <c r="AE22" s="4">
        <f>M22*AB10</f>
        <v>0</v>
      </c>
      <c r="AF22" s="4"/>
      <c r="AG22" s="4"/>
      <c r="AH22" s="4"/>
      <c r="AI22" s="4"/>
      <c r="AJ22" s="4"/>
      <c r="AK22" s="4"/>
      <c r="AL22" s="4"/>
    </row>
    <row r="23" spans="3:38" x14ac:dyDescent="0.3">
      <c r="E23" s="4"/>
      <c r="F23" s="4"/>
      <c r="G23" s="7"/>
      <c r="H23" s="7"/>
      <c r="I23" s="7"/>
      <c r="J23" s="7"/>
      <c r="K23" s="4"/>
      <c r="L23" s="4"/>
      <c r="M23" s="4"/>
      <c r="N23" s="4"/>
      <c r="O23" s="4"/>
      <c r="P23" s="4"/>
      <c r="Q23" s="4"/>
      <c r="R23" s="4"/>
      <c r="S23" s="4"/>
      <c r="T23" s="4"/>
      <c r="V23" s="4"/>
      <c r="W23" s="4"/>
      <c r="X23" s="4"/>
      <c r="Y23" s="4"/>
      <c r="Z23" s="4"/>
      <c r="AA23" s="4"/>
      <c r="AB23" s="4"/>
      <c r="AC23" s="4"/>
      <c r="AE23" s="4"/>
      <c r="AF23" s="4"/>
      <c r="AG23" s="4"/>
      <c r="AH23" s="4"/>
      <c r="AI23" s="4"/>
      <c r="AJ23" s="4"/>
      <c r="AK23" s="4"/>
      <c r="AL23" s="4"/>
    </row>
    <row r="24" spans="3:38" x14ac:dyDescent="0.3">
      <c r="E24" s="4"/>
      <c r="F24" s="4"/>
      <c r="G24" s="7"/>
      <c r="H24" s="7"/>
      <c r="I24" s="7"/>
      <c r="J24" s="7"/>
      <c r="K24" s="4"/>
      <c r="L24" s="4"/>
      <c r="M24" s="4"/>
      <c r="N24" s="4"/>
      <c r="O24" s="4"/>
      <c r="P24" s="4"/>
      <c r="Q24" s="4"/>
      <c r="R24" s="4"/>
      <c r="S24" s="4"/>
      <c r="T24" s="4"/>
      <c r="V24" s="4"/>
      <c r="W24" s="4"/>
      <c r="X24" s="4"/>
      <c r="Y24" s="4"/>
      <c r="Z24" s="4"/>
      <c r="AA24" s="4"/>
      <c r="AB24" s="4"/>
      <c r="AC24" s="4"/>
      <c r="AE24" s="4"/>
      <c r="AF24" s="4"/>
      <c r="AG24" s="4"/>
      <c r="AH24" s="4"/>
      <c r="AI24" s="4"/>
      <c r="AJ24" s="4"/>
      <c r="AK24" s="4"/>
      <c r="AL24" s="4"/>
    </row>
    <row r="25" spans="3:38" x14ac:dyDescent="0.3">
      <c r="E25" s="4"/>
      <c r="F25" s="4"/>
      <c r="G25" s="7"/>
      <c r="H25" s="7"/>
      <c r="I25" s="7"/>
      <c r="J25" s="7"/>
      <c r="K25" s="4"/>
      <c r="L25" s="4"/>
      <c r="M25" s="4"/>
      <c r="N25" s="4"/>
      <c r="O25" s="4"/>
      <c r="P25" s="4"/>
      <c r="Q25" s="4"/>
      <c r="R25" s="4"/>
      <c r="S25" s="4"/>
      <c r="T25" s="4"/>
      <c r="V25" s="4"/>
      <c r="W25" s="4"/>
      <c r="X25" s="4"/>
      <c r="Y25" s="4"/>
      <c r="Z25" s="4"/>
      <c r="AA25" s="4"/>
      <c r="AB25" s="4"/>
      <c r="AC25" s="4"/>
      <c r="AE25" s="4"/>
      <c r="AF25" s="4"/>
      <c r="AG25" s="4"/>
      <c r="AH25" s="4"/>
      <c r="AI25" s="4"/>
      <c r="AJ25" s="4"/>
      <c r="AK25" s="4"/>
      <c r="AL25" s="4"/>
    </row>
    <row r="26" spans="3:38" x14ac:dyDescent="0.3">
      <c r="E26" s="5" t="s">
        <v>8</v>
      </c>
      <c r="F26" s="5"/>
      <c r="G26" s="6"/>
      <c r="H26" s="6"/>
      <c r="I26" s="6"/>
      <c r="J26" s="6"/>
      <c r="K26" s="5"/>
      <c r="L26" s="4"/>
      <c r="M26" s="4"/>
      <c r="N26" s="4"/>
      <c r="O26" s="4"/>
      <c r="P26" s="4"/>
      <c r="Q26" s="4"/>
      <c r="R26" s="4"/>
      <c r="S26" s="4"/>
      <c r="T26" s="4"/>
      <c r="V26" s="4"/>
      <c r="W26" s="4"/>
      <c r="X26" s="4"/>
      <c r="Y26" s="4"/>
      <c r="Z26" s="4"/>
      <c r="AA26" s="4"/>
      <c r="AB26" s="4"/>
      <c r="AC26" s="4"/>
      <c r="AE26" s="4"/>
      <c r="AF26" s="4"/>
      <c r="AG26" s="4"/>
      <c r="AH26" s="4"/>
      <c r="AI26" s="4"/>
      <c r="AJ26" s="4"/>
      <c r="AK26" s="4"/>
      <c r="AL26" s="4"/>
    </row>
    <row r="27" spans="3:38" x14ac:dyDescent="0.3">
      <c r="E27" s="5"/>
      <c r="F27" s="5"/>
      <c r="G27" s="6" t="s">
        <v>10</v>
      </c>
      <c r="H27" s="6" t="s">
        <v>11</v>
      </c>
      <c r="I27" s="6" t="s">
        <v>12</v>
      </c>
      <c r="J27" s="6" t="s">
        <v>13</v>
      </c>
      <c r="K27" s="5"/>
      <c r="L27" s="4"/>
      <c r="M27" s="4"/>
      <c r="N27" s="4"/>
      <c r="O27" s="4"/>
      <c r="P27" s="4"/>
      <c r="Q27" s="4"/>
      <c r="R27" s="4"/>
      <c r="S27" s="4"/>
      <c r="T27" s="4"/>
      <c r="V27" s="4"/>
      <c r="W27" s="4"/>
      <c r="X27" s="4"/>
      <c r="Y27" s="4"/>
      <c r="Z27" s="4"/>
      <c r="AA27" s="4"/>
      <c r="AB27" s="4"/>
      <c r="AC27" s="4"/>
      <c r="AE27" s="4"/>
      <c r="AF27" s="4"/>
      <c r="AG27" s="4"/>
      <c r="AH27" s="4"/>
      <c r="AI27" s="4"/>
      <c r="AJ27" s="4"/>
      <c r="AK27" s="4"/>
      <c r="AL27" s="4"/>
    </row>
    <row r="28" spans="3:38" x14ac:dyDescent="0.3">
      <c r="E28" s="5" t="s">
        <v>1</v>
      </c>
      <c r="F28" s="4"/>
      <c r="G28" s="7">
        <v>0.65</v>
      </c>
      <c r="H28" s="7">
        <v>0.18</v>
      </c>
      <c r="I28" s="7">
        <v>0.16</v>
      </c>
      <c r="J28" s="7">
        <v>0.01</v>
      </c>
      <c r="K28" s="4"/>
      <c r="L28" s="4"/>
      <c r="M28" s="4">
        <f>M20</f>
        <v>0</v>
      </c>
      <c r="N28" s="4"/>
      <c r="O28" s="4">
        <f>IF($I$4=4,1,0)*G28*$M$28</f>
        <v>0</v>
      </c>
      <c r="P28" s="4">
        <f>IF($I$4=4,1,0)*H28*$M$28</f>
        <v>0</v>
      </c>
      <c r="Q28" s="4">
        <f>IF($I$4=4,1,0)*I28*$M$28</f>
        <v>0</v>
      </c>
      <c r="R28" s="4">
        <f>IF($I$4=4,1,0)*J28*$M$28</f>
        <v>0</v>
      </c>
      <c r="S28" s="4"/>
      <c r="T28" s="4"/>
      <c r="V28" s="4">
        <f>M28*Z8</f>
        <v>0</v>
      </c>
      <c r="W28" s="4"/>
      <c r="X28" s="4">
        <f>O28*$Z$8</f>
        <v>0</v>
      </c>
      <c r="Y28" s="4">
        <f t="shared" ref="Y28" si="15">P28*$Z$8</f>
        <v>0</v>
      </c>
      <c r="Z28" s="4">
        <f t="shared" ref="Z28" si="16">Q28*$Z$8</f>
        <v>0</v>
      </c>
      <c r="AA28" s="4">
        <f t="shared" ref="AA28" si="17">R28*$Z$8</f>
        <v>0</v>
      </c>
      <c r="AB28" s="4"/>
      <c r="AC28" s="4"/>
      <c r="AE28" s="4">
        <f>AE20</f>
        <v>0</v>
      </c>
      <c r="AF28" s="4"/>
      <c r="AG28" s="4">
        <f>O28*$AF$8</f>
        <v>0</v>
      </c>
      <c r="AH28" s="4">
        <f t="shared" ref="AH28" si="18">P28*$AF$8</f>
        <v>0</v>
      </c>
      <c r="AI28" s="4">
        <f t="shared" ref="AI28" si="19">Q28*$AF$8</f>
        <v>0</v>
      </c>
      <c r="AJ28" s="4">
        <f t="shared" ref="AJ28" si="20">R28*$AF$8</f>
        <v>0</v>
      </c>
      <c r="AK28" s="4"/>
      <c r="AL28" s="4"/>
    </row>
    <row r="29" spans="3:38" x14ac:dyDescent="0.3">
      <c r="E29" s="5" t="s">
        <v>2</v>
      </c>
      <c r="F29" s="4"/>
      <c r="G29" s="7">
        <v>0.8</v>
      </c>
      <c r="H29" s="7">
        <v>0.17</v>
      </c>
      <c r="I29" s="7">
        <v>1.4999999999999999E-2</v>
      </c>
      <c r="J29" s="7">
        <v>0.01</v>
      </c>
      <c r="K29" s="4"/>
      <c r="L29" s="4"/>
      <c r="M29" s="4">
        <f>M21</f>
        <v>0</v>
      </c>
      <c r="N29" s="4"/>
      <c r="O29" s="4">
        <f>IF($I$4=4,1,0)*G29*$M$29</f>
        <v>0</v>
      </c>
      <c r="P29" s="4">
        <f>IF($I$4=4,1,0)*H29*$M$29</f>
        <v>0</v>
      </c>
      <c r="Q29" s="4">
        <f>IF($I$4=4,1,0)*I29*$M$29</f>
        <v>0</v>
      </c>
      <c r="R29" s="4">
        <f>IF($I$4=4,1,0)*J29*$M$29</f>
        <v>0</v>
      </c>
      <c r="S29" s="4"/>
      <c r="T29" s="4"/>
      <c r="V29" s="4">
        <f>M29*Z9</f>
        <v>0</v>
      </c>
      <c r="W29" s="4"/>
      <c r="X29" s="4">
        <f>$Z$9*O29</f>
        <v>0</v>
      </c>
      <c r="Y29" s="4">
        <f t="shared" ref="Y29" si="21">IF(AND($V$21&gt;0,P29&gt;0),H29,0)</f>
        <v>0</v>
      </c>
      <c r="Z29" s="4">
        <f t="shared" ref="Z29" si="22">IF(AND($V$21&gt;0,Q29&gt;0),I29,0)</f>
        <v>0</v>
      </c>
      <c r="AA29" s="4">
        <f t="shared" ref="AA29" si="23">IF(AND($V$21&gt;0,R29&gt;0),J29,0)</f>
        <v>0</v>
      </c>
      <c r="AB29" s="4"/>
      <c r="AC29" s="4"/>
      <c r="AE29" s="4">
        <f>AE21</f>
        <v>0</v>
      </c>
      <c r="AF29" s="4"/>
      <c r="AG29" s="4">
        <f>$AF$9*O29</f>
        <v>0</v>
      </c>
      <c r="AH29" s="4">
        <f t="shared" ref="AH29" si="24">$AF$9*P29</f>
        <v>0</v>
      </c>
      <c r="AI29" s="4">
        <f t="shared" ref="AI29" si="25">$AF$9*Q29</f>
        <v>0</v>
      </c>
      <c r="AJ29" s="4">
        <f t="shared" ref="AJ29" si="26">$AF$9*R29</f>
        <v>0</v>
      </c>
      <c r="AK29" s="4"/>
      <c r="AL29" s="4"/>
    </row>
    <row r="30" spans="3:38" x14ac:dyDescent="0.3">
      <c r="E30" s="5" t="s">
        <v>14</v>
      </c>
      <c r="F30" s="4"/>
      <c r="G30" s="7">
        <v>0.7</v>
      </c>
      <c r="H30" s="7">
        <v>0.13</v>
      </c>
      <c r="I30" s="7">
        <v>0.14000000000000001</v>
      </c>
      <c r="J30" s="7">
        <v>0.03</v>
      </c>
      <c r="K30" s="4"/>
      <c r="L30" s="4"/>
      <c r="M30" s="4">
        <f>M22</f>
        <v>0</v>
      </c>
      <c r="N30" s="4"/>
      <c r="O30" s="4">
        <f>IF($I$4=4,1,0)*G30*$M$30</f>
        <v>0</v>
      </c>
      <c r="P30" s="4">
        <f>IF($I$4=4,1,0)*H30*$M$30</f>
        <v>0</v>
      </c>
      <c r="Q30" s="4">
        <f>IF($I$4=4,1,0)*I30*$M$30</f>
        <v>0</v>
      </c>
      <c r="R30" s="4">
        <f>IF($I$4=4,1,0)*J30*$M$30</f>
        <v>0</v>
      </c>
      <c r="S30" s="4"/>
      <c r="T30" s="4"/>
      <c r="V30" s="4">
        <f>M30*Z10</f>
        <v>0</v>
      </c>
      <c r="W30" s="4"/>
      <c r="X30" s="4">
        <f>$Z$10*O30</f>
        <v>0</v>
      </c>
      <c r="Y30" s="4">
        <f t="shared" ref="Y30" si="27">$Z$10*P30</f>
        <v>0</v>
      </c>
      <c r="Z30" s="4">
        <f t="shared" ref="Z30" si="28">$Z$10*Q30</f>
        <v>0</v>
      </c>
      <c r="AA30" s="4">
        <f t="shared" ref="AA30" si="29">$Z$10*R30</f>
        <v>0</v>
      </c>
      <c r="AB30" s="4"/>
      <c r="AC30" s="4"/>
      <c r="AE30" s="4">
        <f>AE22</f>
        <v>0</v>
      </c>
      <c r="AF30" s="4"/>
      <c r="AG30" s="4"/>
      <c r="AH30" s="4"/>
      <c r="AI30" s="4"/>
      <c r="AJ30" s="4"/>
      <c r="AK30" s="4"/>
      <c r="AL30" s="4"/>
    </row>
    <row r="31" spans="3:38" x14ac:dyDescent="0.3">
      <c r="E31" s="4"/>
      <c r="F31" s="4"/>
      <c r="G31" s="7"/>
      <c r="H31" s="7"/>
      <c r="I31" s="7"/>
      <c r="J31" s="7"/>
      <c r="K31" s="4"/>
      <c r="L31" s="4"/>
      <c r="M31" s="4"/>
      <c r="N31" s="4"/>
      <c r="O31" s="4"/>
      <c r="P31" s="4"/>
      <c r="Q31" s="4"/>
      <c r="R31" s="4"/>
      <c r="S31" s="4"/>
      <c r="T31" s="4"/>
      <c r="V31" s="4"/>
      <c r="W31" s="4"/>
      <c r="X31" s="4"/>
      <c r="Y31" s="4"/>
      <c r="Z31" s="4"/>
      <c r="AA31" s="4"/>
      <c r="AB31" s="4"/>
      <c r="AC31" s="4"/>
      <c r="AE31" s="4"/>
      <c r="AF31" s="4"/>
      <c r="AG31" s="4"/>
      <c r="AH31" s="4"/>
      <c r="AI31" s="4"/>
      <c r="AJ31" s="4"/>
      <c r="AK31" s="4"/>
      <c r="AL31" s="4"/>
    </row>
    <row r="32" spans="3:38" x14ac:dyDescent="0.3">
      <c r="E32" s="4"/>
      <c r="F32" s="4"/>
      <c r="G32" s="7"/>
      <c r="H32" s="7"/>
      <c r="I32" s="7"/>
      <c r="J32" s="7"/>
      <c r="K32" s="4"/>
      <c r="L32" s="4"/>
      <c r="M32" s="4"/>
      <c r="N32" s="4"/>
      <c r="O32" s="4"/>
      <c r="P32" s="4"/>
      <c r="Q32" s="4"/>
      <c r="R32" s="4"/>
      <c r="S32" s="4"/>
      <c r="T32" s="4"/>
      <c r="V32" s="4"/>
      <c r="W32" s="4"/>
      <c r="X32" s="4"/>
      <c r="Y32" s="4"/>
      <c r="Z32" s="4"/>
      <c r="AA32" s="4"/>
      <c r="AB32" s="4"/>
      <c r="AC32" s="4"/>
      <c r="AE32" s="4"/>
      <c r="AF32" s="4"/>
      <c r="AG32" s="4"/>
      <c r="AH32" s="4"/>
      <c r="AI32" s="4"/>
      <c r="AJ32" s="4"/>
      <c r="AK32" s="4"/>
      <c r="AL32" s="4"/>
    </row>
    <row r="33" spans="5:38" x14ac:dyDescent="0.3">
      <c r="E33" s="4"/>
      <c r="F33" s="4"/>
      <c r="G33" s="7"/>
      <c r="H33" s="7"/>
      <c r="I33" s="7"/>
      <c r="J33" s="7"/>
      <c r="K33" s="4"/>
      <c r="L33" s="4"/>
      <c r="M33" s="4"/>
      <c r="N33" s="4"/>
      <c r="O33" s="4"/>
      <c r="P33" s="4"/>
      <c r="Q33" s="4"/>
      <c r="R33" s="4"/>
      <c r="S33" s="4"/>
      <c r="T33" s="4"/>
      <c r="V33" s="4"/>
      <c r="W33" s="4"/>
      <c r="X33" s="4"/>
      <c r="Y33" s="4"/>
      <c r="Z33" s="4"/>
      <c r="AA33" s="4"/>
      <c r="AB33" s="4"/>
      <c r="AC33" s="4"/>
      <c r="AE33" s="4"/>
      <c r="AF33" s="4"/>
      <c r="AG33" s="4"/>
      <c r="AH33" s="4"/>
      <c r="AI33" s="4"/>
      <c r="AJ33" s="4"/>
      <c r="AK33" s="4"/>
      <c r="AL33" s="4"/>
    </row>
    <row r="34" spans="5:38" x14ac:dyDescent="0.3">
      <c r="E34" s="5" t="s">
        <v>9</v>
      </c>
      <c r="F34" s="5"/>
      <c r="G34" s="6"/>
      <c r="H34" s="6"/>
      <c r="I34" s="6"/>
      <c r="J34" s="6"/>
      <c r="K34" s="5"/>
      <c r="L34" s="4"/>
      <c r="M34" s="4"/>
      <c r="N34" s="4"/>
      <c r="O34" s="4"/>
      <c r="P34" s="4"/>
      <c r="Q34" s="4"/>
      <c r="R34" s="4"/>
      <c r="S34" s="4"/>
      <c r="T34" s="4"/>
      <c r="V34" s="4"/>
      <c r="W34" s="4"/>
      <c r="X34" s="4"/>
      <c r="Y34" s="4"/>
      <c r="Z34" s="4"/>
      <c r="AA34" s="4"/>
      <c r="AB34" s="4"/>
      <c r="AC34" s="4"/>
      <c r="AE34" s="4"/>
      <c r="AF34" s="4"/>
      <c r="AG34" s="4"/>
      <c r="AH34" s="4"/>
      <c r="AI34" s="4"/>
      <c r="AJ34" s="4"/>
      <c r="AK34" s="4"/>
      <c r="AL34" s="4"/>
    </row>
    <row r="35" spans="5:38" x14ac:dyDescent="0.3">
      <c r="E35" s="5"/>
      <c r="F35" s="5"/>
      <c r="G35" s="6" t="s">
        <v>16</v>
      </c>
      <c r="H35" s="6" t="s">
        <v>17</v>
      </c>
      <c r="I35" s="6" t="s">
        <v>44</v>
      </c>
      <c r="J35" s="6" t="s">
        <v>21</v>
      </c>
      <c r="K35" s="5"/>
      <c r="L35" s="4"/>
      <c r="M35" s="4"/>
      <c r="N35" s="4"/>
      <c r="O35" s="4"/>
      <c r="P35" s="4"/>
      <c r="Q35" s="4"/>
      <c r="R35" s="4"/>
      <c r="S35" s="4"/>
      <c r="T35" s="4"/>
      <c r="V35" s="4"/>
      <c r="W35" s="4"/>
      <c r="X35" s="4"/>
      <c r="Y35" s="4"/>
      <c r="Z35" s="4"/>
      <c r="AA35" s="4"/>
      <c r="AB35" s="4"/>
      <c r="AC35" s="4"/>
      <c r="AE35" s="4"/>
      <c r="AF35" s="4"/>
      <c r="AG35" s="4"/>
      <c r="AH35" s="4"/>
      <c r="AI35" s="4"/>
      <c r="AJ35" s="4"/>
      <c r="AK35" s="4"/>
      <c r="AL35" s="4"/>
    </row>
    <row r="36" spans="5:38" x14ac:dyDescent="0.3">
      <c r="E36" s="5" t="s">
        <v>1</v>
      </c>
      <c r="F36" s="4"/>
      <c r="G36" s="7">
        <v>0.73</v>
      </c>
      <c r="H36" s="7">
        <v>0.18</v>
      </c>
      <c r="I36" s="7">
        <v>0.08</v>
      </c>
      <c r="J36" s="7">
        <v>0.01</v>
      </c>
      <c r="K36" s="4"/>
      <c r="L36" s="4"/>
      <c r="M36" s="4">
        <f>M28</f>
        <v>0</v>
      </c>
      <c r="N36" s="4"/>
      <c r="O36" s="4">
        <f>IF($I$4=5,1,0)*G36*$M$36</f>
        <v>0</v>
      </c>
      <c r="P36" s="4">
        <f>IF($I$4=5,1,0)*H36*$M$36</f>
        <v>0</v>
      </c>
      <c r="Q36" s="4">
        <f>IF($I$4=5,1,0)*I36*$M$36</f>
        <v>0</v>
      </c>
      <c r="R36" s="4">
        <f>IF($I$4=5,1,0)*J36*$M$36</f>
        <v>0</v>
      </c>
      <c r="S36" s="4"/>
      <c r="T36" s="4"/>
      <c r="V36" s="4">
        <f>M36*Z8</f>
        <v>0</v>
      </c>
      <c r="W36" s="4"/>
      <c r="X36" s="4">
        <f>O36*$Z$8</f>
        <v>0</v>
      </c>
      <c r="Y36" s="4">
        <f t="shared" ref="Y36" si="30">P36*$Z$8</f>
        <v>0</v>
      </c>
      <c r="Z36" s="4">
        <f t="shared" ref="Z36" si="31">Q36*$Z$8</f>
        <v>0</v>
      </c>
      <c r="AA36" s="4">
        <f t="shared" ref="AA36" si="32">R36*$Z$8</f>
        <v>0</v>
      </c>
      <c r="AB36" s="4"/>
      <c r="AC36" s="4"/>
      <c r="AE36" s="4">
        <f>AE28</f>
        <v>0</v>
      </c>
      <c r="AF36" s="4"/>
      <c r="AG36" s="4">
        <f>O36*$AF$8</f>
        <v>0</v>
      </c>
      <c r="AH36" s="4">
        <f t="shared" ref="AH36" si="33">P36*$AF$8</f>
        <v>0</v>
      </c>
      <c r="AI36" s="4">
        <f t="shared" ref="AI36" si="34">Q36*$AF$8</f>
        <v>0</v>
      </c>
      <c r="AJ36" s="4">
        <f t="shared" ref="AJ36" si="35">R36*$AF$8</f>
        <v>0</v>
      </c>
      <c r="AK36" s="4"/>
      <c r="AL36" s="4"/>
    </row>
    <row r="37" spans="5:38" x14ac:dyDescent="0.3">
      <c r="E37" s="5" t="s">
        <v>2</v>
      </c>
      <c r="F37" s="4"/>
      <c r="G37" s="7">
        <v>0.75</v>
      </c>
      <c r="H37" s="7">
        <v>0.18</v>
      </c>
      <c r="I37" s="7">
        <v>0.04</v>
      </c>
      <c r="J37" s="7">
        <v>0.03</v>
      </c>
      <c r="K37" s="4"/>
      <c r="L37" s="4"/>
      <c r="M37" s="4">
        <f t="shared" ref="M37:M38" si="36">M29</f>
        <v>0</v>
      </c>
      <c r="N37" s="4"/>
      <c r="O37" s="4">
        <f>IF($I$4=5,1,0)*G37*$M$37</f>
        <v>0</v>
      </c>
      <c r="P37" s="4">
        <f>IF($I$4=5,1,0)*H37*$M$37</f>
        <v>0</v>
      </c>
      <c r="Q37" s="4">
        <f>IF($I$4=5,1,0)*I37*$M$37</f>
        <v>0</v>
      </c>
      <c r="R37" s="4">
        <f>IF($I$4=5,1,0)*J37*$M$37</f>
        <v>0</v>
      </c>
      <c r="S37" s="4"/>
      <c r="T37" s="4"/>
      <c r="V37" s="4">
        <f>M37*Z9</f>
        <v>0</v>
      </c>
      <c r="W37" s="4"/>
      <c r="X37" s="4">
        <f>$Z$9*O37</f>
        <v>0</v>
      </c>
      <c r="Y37" s="4">
        <f t="shared" ref="Y37" si="37">IF(AND($V$21&gt;0,P37&gt;0),H37,0)</f>
        <v>0</v>
      </c>
      <c r="Z37" s="4">
        <f t="shared" ref="Z37" si="38">IF(AND($V$21&gt;0,Q37&gt;0),I37,0)</f>
        <v>0</v>
      </c>
      <c r="AA37" s="4">
        <f t="shared" ref="AA37" si="39">IF(AND($V$21&gt;0,R37&gt;0),J37,0)</f>
        <v>0</v>
      </c>
      <c r="AB37" s="4"/>
      <c r="AC37" s="4"/>
      <c r="AE37" s="4">
        <f t="shared" ref="AE37:AE38" si="40">AE29</f>
        <v>0</v>
      </c>
      <c r="AF37" s="4"/>
      <c r="AG37" s="4">
        <f>$AF$9*O37</f>
        <v>0</v>
      </c>
      <c r="AH37" s="4">
        <f t="shared" ref="AH37" si="41">$AF$9*P37</f>
        <v>0</v>
      </c>
      <c r="AI37" s="4">
        <f t="shared" ref="AI37" si="42">$AF$9*Q37</f>
        <v>0</v>
      </c>
      <c r="AJ37" s="4">
        <f t="shared" ref="AJ37" si="43">$AF$9*R37</f>
        <v>0</v>
      </c>
      <c r="AK37" s="4"/>
      <c r="AL37" s="4"/>
    </row>
    <row r="38" spans="5:38" x14ac:dyDescent="0.3">
      <c r="E38" s="5" t="s">
        <v>3</v>
      </c>
      <c r="F38" s="4"/>
      <c r="G38" s="7">
        <v>0.83</v>
      </c>
      <c r="H38" s="7">
        <v>0.1</v>
      </c>
      <c r="I38" s="7">
        <v>0.04</v>
      </c>
      <c r="J38" s="7">
        <v>0.03</v>
      </c>
      <c r="K38" s="4"/>
      <c r="L38" s="4"/>
      <c r="M38" s="4">
        <f t="shared" si="36"/>
        <v>0</v>
      </c>
      <c r="N38" s="4"/>
      <c r="O38" s="4">
        <f>IF($I$4=5,1,0)*G38*$M$38</f>
        <v>0</v>
      </c>
      <c r="P38" s="4">
        <f>IF($I$4=5,1,0)*H38*$M$38</f>
        <v>0</v>
      </c>
      <c r="Q38" s="4">
        <f>IF($I$4=5,1,0)*I38*$M$38</f>
        <v>0</v>
      </c>
      <c r="R38" s="4">
        <f>IF($I$4=5,1,0)*J38*$M$38</f>
        <v>0</v>
      </c>
      <c r="S38" s="4"/>
      <c r="T38" s="4"/>
      <c r="V38" s="4">
        <f>M38*Z10</f>
        <v>0</v>
      </c>
      <c r="W38" s="4"/>
      <c r="X38" s="4">
        <f>$Z$10*O38</f>
        <v>0</v>
      </c>
      <c r="Y38" s="4">
        <f t="shared" ref="Y38" si="44">$Z$10*P38</f>
        <v>0</v>
      </c>
      <c r="Z38" s="4">
        <f t="shared" ref="Z38" si="45">$Z$10*Q38</f>
        <v>0</v>
      </c>
      <c r="AA38" s="4">
        <f t="shared" ref="AA38" si="46">$Z$10*R38</f>
        <v>0</v>
      </c>
      <c r="AB38" s="4"/>
      <c r="AC38" s="4"/>
      <c r="AE38" s="4">
        <f t="shared" si="40"/>
        <v>0</v>
      </c>
      <c r="AF38" s="4"/>
      <c r="AG38" s="4"/>
      <c r="AH38" s="4"/>
      <c r="AI38" s="4"/>
      <c r="AJ38" s="4"/>
      <c r="AK38" s="4"/>
      <c r="AL38" s="4"/>
    </row>
    <row r="39" spans="5:38" x14ac:dyDescent="0.3">
      <c r="E39" s="5"/>
      <c r="F39" s="4"/>
      <c r="G39" s="7"/>
      <c r="H39" s="7"/>
      <c r="I39" s="7"/>
      <c r="J39" s="7"/>
      <c r="K39" s="4"/>
      <c r="L39" s="4"/>
      <c r="M39" s="4"/>
      <c r="N39" s="4"/>
      <c r="O39" s="4"/>
      <c r="P39" s="4"/>
      <c r="Q39" s="4"/>
      <c r="R39" s="4"/>
      <c r="S39" s="4"/>
      <c r="T39" s="4"/>
      <c r="V39" s="4"/>
      <c r="W39" s="4"/>
      <c r="X39" s="4"/>
      <c r="Y39" s="4"/>
      <c r="Z39" s="4"/>
      <c r="AA39" s="4"/>
      <c r="AB39" s="4"/>
      <c r="AC39" s="4"/>
      <c r="AE39" s="4"/>
      <c r="AF39" s="4"/>
      <c r="AG39" s="4"/>
      <c r="AH39" s="4"/>
      <c r="AI39" s="4"/>
      <c r="AJ39" s="4"/>
      <c r="AK39" s="4"/>
      <c r="AL39" s="4"/>
    </row>
    <row r="40" spans="5:38" x14ac:dyDescent="0.3">
      <c r="E40" s="5" t="s">
        <v>74</v>
      </c>
      <c r="F40" s="5"/>
      <c r="G40" s="6"/>
      <c r="H40" s="6"/>
      <c r="I40" s="6"/>
      <c r="J40" s="6"/>
      <c r="K40" s="5"/>
      <c r="L40" s="4"/>
      <c r="M40" s="4"/>
      <c r="N40" s="4"/>
      <c r="O40" s="4"/>
      <c r="P40" s="4"/>
      <c r="Q40" s="4"/>
      <c r="R40" s="4"/>
      <c r="S40" s="4"/>
      <c r="T40" s="4"/>
      <c r="V40" s="4"/>
      <c r="W40" s="4"/>
      <c r="X40" s="4"/>
      <c r="Y40" s="4"/>
      <c r="Z40" s="4"/>
      <c r="AA40" s="4"/>
      <c r="AB40" s="4"/>
      <c r="AC40" s="4"/>
      <c r="AE40" s="4"/>
      <c r="AF40" s="4"/>
      <c r="AG40" s="4"/>
      <c r="AH40" s="4"/>
      <c r="AI40" s="4"/>
      <c r="AJ40" s="4"/>
      <c r="AK40" s="4"/>
      <c r="AL40" s="4"/>
    </row>
    <row r="41" spans="5:38" x14ac:dyDescent="0.3">
      <c r="E41" s="5"/>
      <c r="F41" s="5"/>
      <c r="G41" s="6" t="s">
        <v>16</v>
      </c>
      <c r="H41" s="6" t="s">
        <v>17</v>
      </c>
      <c r="I41" s="6" t="s">
        <v>44</v>
      </c>
      <c r="J41" s="6" t="s">
        <v>21</v>
      </c>
      <c r="K41" s="5"/>
      <c r="L41" s="4"/>
      <c r="M41" s="4"/>
      <c r="N41" s="4"/>
      <c r="O41" s="4"/>
      <c r="P41" s="4"/>
      <c r="Q41" s="4"/>
      <c r="R41" s="4"/>
      <c r="S41" s="4"/>
      <c r="T41" s="4"/>
      <c r="V41" s="4"/>
      <c r="W41" s="4"/>
      <c r="X41" s="4"/>
      <c r="Y41" s="4"/>
      <c r="Z41" s="4"/>
      <c r="AA41" s="4"/>
      <c r="AB41" s="4"/>
      <c r="AC41" s="4"/>
      <c r="AE41" s="4"/>
      <c r="AF41" s="4"/>
      <c r="AG41" s="4"/>
      <c r="AH41" s="4"/>
      <c r="AI41" s="4"/>
      <c r="AJ41" s="4"/>
      <c r="AK41" s="4"/>
      <c r="AL41" s="4"/>
    </row>
    <row r="42" spans="5:38" x14ac:dyDescent="0.3">
      <c r="E42" s="5" t="s">
        <v>1</v>
      </c>
      <c r="F42" s="4"/>
      <c r="G42" s="7">
        <v>0.73</v>
      </c>
      <c r="H42" s="7">
        <v>0.18</v>
      </c>
      <c r="I42" s="7">
        <v>0.08</v>
      </c>
      <c r="J42" s="7">
        <v>0.01</v>
      </c>
      <c r="K42" s="4"/>
      <c r="L42" s="4"/>
      <c r="M42" s="4">
        <f>M36</f>
        <v>0</v>
      </c>
      <c r="N42" s="4"/>
      <c r="O42" s="4">
        <f>IF($I$4=6,1,0)*G42*$M$42</f>
        <v>0</v>
      </c>
      <c r="P42" s="4">
        <f t="shared" ref="P42:R42" si="47">IF($I$4=6,1,0)*H42*$M$42</f>
        <v>0</v>
      </c>
      <c r="Q42" s="4">
        <f t="shared" si="47"/>
        <v>0</v>
      </c>
      <c r="R42" s="4">
        <f t="shared" si="47"/>
        <v>0</v>
      </c>
      <c r="S42" s="4"/>
      <c r="T42" s="4"/>
      <c r="V42" s="4">
        <f>V36</f>
        <v>0</v>
      </c>
      <c r="W42" s="4"/>
      <c r="X42" s="4">
        <f>O42*$Z$8</f>
        <v>0</v>
      </c>
      <c r="Y42" s="4">
        <f t="shared" ref="Y42" si="48">P42*$Z$8</f>
        <v>0</v>
      </c>
      <c r="Z42" s="4">
        <f t="shared" ref="Z42" si="49">Q42*$Z$8</f>
        <v>0</v>
      </c>
      <c r="AA42" s="4">
        <f t="shared" ref="AA42" si="50">R42*$Z$8</f>
        <v>0</v>
      </c>
      <c r="AB42" s="4"/>
      <c r="AC42" s="4"/>
      <c r="AE42" s="4">
        <f>AE34</f>
        <v>0</v>
      </c>
      <c r="AF42" s="4"/>
      <c r="AG42" s="4">
        <f>O42*$AF$8</f>
        <v>0</v>
      </c>
      <c r="AH42" s="4">
        <f t="shared" ref="AH42" si="51">P42*$AF$8</f>
        <v>0</v>
      </c>
      <c r="AI42" s="4">
        <f t="shared" ref="AI42" si="52">Q42*$AF$8</f>
        <v>0</v>
      </c>
      <c r="AJ42" s="4">
        <f t="shared" ref="AJ42" si="53">R42*$AF$8</f>
        <v>0</v>
      </c>
      <c r="AK42" s="4"/>
      <c r="AL42" s="4"/>
    </row>
    <row r="43" spans="5:38" x14ac:dyDescent="0.3">
      <c r="E43" s="5" t="s">
        <v>2</v>
      </c>
      <c r="F43" s="4"/>
      <c r="G43" s="7">
        <v>0.75</v>
      </c>
      <c r="H43" s="7">
        <v>0.18</v>
      </c>
      <c r="I43" s="7">
        <v>0.04</v>
      </c>
      <c r="J43" s="7">
        <v>0.03</v>
      </c>
      <c r="K43" s="4"/>
      <c r="L43" s="4"/>
      <c r="M43" s="4">
        <f t="shared" ref="M43:M44" si="54">M37</f>
        <v>0</v>
      </c>
      <c r="N43" s="4"/>
      <c r="O43" s="4">
        <f>IF($I$4=6,1,0)*G43*$M$43</f>
        <v>0</v>
      </c>
      <c r="P43" s="4">
        <f t="shared" ref="P43:R43" si="55">IF($I$4=6,1,0)*H43*$M$43</f>
        <v>0</v>
      </c>
      <c r="Q43" s="4">
        <f t="shared" si="55"/>
        <v>0</v>
      </c>
      <c r="R43" s="4">
        <f t="shared" si="55"/>
        <v>0</v>
      </c>
      <c r="S43" s="4"/>
      <c r="T43" s="4"/>
      <c r="V43" s="4">
        <f>V37</f>
        <v>0</v>
      </c>
      <c r="W43" s="4"/>
      <c r="X43" s="4">
        <f>$Z$9*O43</f>
        <v>0</v>
      </c>
      <c r="Y43" s="4">
        <f t="shared" ref="Y43" si="56">IF(AND($V$21&gt;0,P43&gt;0),H43,0)</f>
        <v>0</v>
      </c>
      <c r="Z43" s="4">
        <f t="shared" ref="Z43" si="57">IF(AND($V$21&gt;0,Q43&gt;0),I43,0)</f>
        <v>0</v>
      </c>
      <c r="AA43" s="4">
        <f t="shared" ref="AA43" si="58">IF(AND($V$21&gt;0,R43&gt;0),J43,0)</f>
        <v>0</v>
      </c>
      <c r="AB43" s="4"/>
      <c r="AC43" s="4"/>
      <c r="AE43" s="4">
        <f t="shared" ref="AE43:AE44" si="59">AE35</f>
        <v>0</v>
      </c>
      <c r="AF43" s="4"/>
      <c r="AG43" s="4">
        <f>$AF$9*O43</f>
        <v>0</v>
      </c>
      <c r="AH43" s="4">
        <f t="shared" ref="AH43" si="60">$AF$9*P43</f>
        <v>0</v>
      </c>
      <c r="AI43" s="4">
        <f t="shared" ref="AI43" si="61">$AF$9*Q43</f>
        <v>0</v>
      </c>
      <c r="AJ43" s="4">
        <f t="shared" ref="AJ43" si="62">$AF$9*R43</f>
        <v>0</v>
      </c>
      <c r="AK43" s="4"/>
      <c r="AL43" s="4"/>
    </row>
    <row r="44" spans="5:38" x14ac:dyDescent="0.3">
      <c r="E44" s="5" t="s">
        <v>3</v>
      </c>
      <c r="F44" s="4"/>
      <c r="G44" s="7">
        <v>0.7</v>
      </c>
      <c r="H44" s="7">
        <v>0.16</v>
      </c>
      <c r="I44" s="7">
        <v>0.09</v>
      </c>
      <c r="J44" s="7">
        <v>0.05</v>
      </c>
      <c r="K44" s="4"/>
      <c r="L44" s="4"/>
      <c r="M44" s="4">
        <f t="shared" si="54"/>
        <v>0</v>
      </c>
      <c r="N44" s="4"/>
      <c r="O44" s="4">
        <f>IF($I$4=6,1,0)*G44*$M$44</f>
        <v>0</v>
      </c>
      <c r="P44" s="4">
        <f t="shared" ref="P44:R44" si="63">IF($I$4=6,1,0)*H44*$M$44</f>
        <v>0</v>
      </c>
      <c r="Q44" s="4">
        <f t="shared" si="63"/>
        <v>0</v>
      </c>
      <c r="R44" s="4">
        <f t="shared" si="63"/>
        <v>0</v>
      </c>
      <c r="S44" s="4"/>
      <c r="T44" s="4"/>
      <c r="V44" s="4">
        <f>V38</f>
        <v>0</v>
      </c>
      <c r="W44" s="4"/>
      <c r="X44" s="4">
        <f>$Z$10*O44</f>
        <v>0</v>
      </c>
      <c r="Y44" s="4">
        <f t="shared" ref="Y44" si="64">$Z$10*P44</f>
        <v>0</v>
      </c>
      <c r="Z44" s="4">
        <f t="shared" ref="Z44" si="65">$Z$10*Q44</f>
        <v>0</v>
      </c>
      <c r="AA44" s="4">
        <f t="shared" ref="AA44" si="66">$Z$10*R44</f>
        <v>0</v>
      </c>
      <c r="AB44" s="4"/>
      <c r="AC44" s="4"/>
      <c r="AE44" s="4">
        <f t="shared" si="59"/>
        <v>0</v>
      </c>
      <c r="AF44" s="4"/>
      <c r="AG44" s="4"/>
      <c r="AH44" s="4"/>
      <c r="AI44" s="4"/>
      <c r="AJ44" s="4"/>
      <c r="AK44" s="4"/>
      <c r="AL44" s="4"/>
    </row>
    <row r="45" spans="5:38" s="1" customFormat="1" x14ac:dyDescent="0.3">
      <c r="E45" s="5"/>
      <c r="F45" s="5"/>
      <c r="G45" s="5"/>
      <c r="H45" s="5"/>
      <c r="I45" s="5"/>
      <c r="J45" s="5"/>
      <c r="K45" s="5"/>
      <c r="L45" s="5"/>
      <c r="M45" s="5"/>
      <c r="N45" s="5"/>
      <c r="O45" s="5">
        <f t="shared" ref="O45:Q45" si="67">SUM(O15:O44)</f>
        <v>0</v>
      </c>
      <c r="P45" s="5">
        <f t="shared" si="67"/>
        <v>0</v>
      </c>
      <c r="Q45" s="5">
        <f t="shared" si="67"/>
        <v>0</v>
      </c>
      <c r="R45" s="5">
        <f>SUM(R15:R44)</f>
        <v>0</v>
      </c>
      <c r="S45" s="5">
        <f>SUM(O45:R45)</f>
        <v>0</v>
      </c>
      <c r="T45" s="5">
        <f>S45</f>
        <v>0</v>
      </c>
      <c r="U45" s="5"/>
      <c r="V45" s="5"/>
      <c r="W45" s="5"/>
      <c r="X45" s="5">
        <f t="shared" ref="X45:AJ45" si="68">SUM(X20:X44)</f>
        <v>0</v>
      </c>
      <c r="Y45" s="5">
        <f t="shared" si="68"/>
        <v>0</v>
      </c>
      <c r="Z45" s="5">
        <f t="shared" si="68"/>
        <v>0</v>
      </c>
      <c r="AA45" s="5">
        <f t="shared" si="68"/>
        <v>0</v>
      </c>
      <c r="AB45" s="5">
        <f>SUM(X45:AA45)</f>
        <v>0</v>
      </c>
      <c r="AC45" s="5"/>
      <c r="AD45" s="5"/>
      <c r="AE45" s="5"/>
      <c r="AF45" s="5"/>
      <c r="AG45" s="5">
        <f t="shared" si="68"/>
        <v>0</v>
      </c>
      <c r="AH45" s="5">
        <f t="shared" si="68"/>
        <v>0</v>
      </c>
      <c r="AI45" s="5">
        <f t="shared" si="68"/>
        <v>0</v>
      </c>
      <c r="AJ45" s="5">
        <f t="shared" si="68"/>
        <v>0</v>
      </c>
      <c r="AK45" s="5">
        <f>SUM(AG45:AJ45)</f>
        <v>0</v>
      </c>
      <c r="AL45" s="5"/>
    </row>
    <row r="48" spans="5:38" x14ac:dyDescent="0.3">
      <c r="P48" s="2" t="s">
        <v>20</v>
      </c>
      <c r="Q48" s="2"/>
      <c r="R48" s="2">
        <f>S45</f>
        <v>0</v>
      </c>
      <c r="Y48" s="2" t="s">
        <v>20</v>
      </c>
      <c r="Z48" s="2"/>
      <c r="AA48" s="2">
        <f>AB45</f>
        <v>0</v>
      </c>
      <c r="AH48" s="2" t="s">
        <v>20</v>
      </c>
      <c r="AI48" s="2"/>
      <c r="AJ48" s="2">
        <f>AK45</f>
        <v>0</v>
      </c>
    </row>
    <row r="49" spans="5:36" x14ac:dyDescent="0.3">
      <c r="P49" s="2"/>
      <c r="Q49" s="2"/>
      <c r="R49" s="2"/>
      <c r="Y49" s="2"/>
      <c r="Z49" s="2"/>
      <c r="AA49" s="2"/>
      <c r="AH49" s="2"/>
      <c r="AI49" s="2"/>
      <c r="AJ49" s="2"/>
    </row>
    <row r="50" spans="5:36" x14ac:dyDescent="0.3">
      <c r="P50" s="2" t="str">
        <f>G35</f>
        <v>Moisture</v>
      </c>
      <c r="Q50" s="2"/>
      <c r="R50" s="3" t="e">
        <f>O45/$S$45</f>
        <v>#DIV/0!</v>
      </c>
      <c r="Y50" s="2" t="str">
        <f>P50</f>
        <v>Moisture</v>
      </c>
      <c r="Z50" s="2"/>
      <c r="AA50" s="3">
        <f>IF($AB$45=0,0,X45/$AB$45)</f>
        <v>0</v>
      </c>
      <c r="AE50" s="25"/>
      <c r="AH50" s="2" t="str">
        <f>Y50</f>
        <v>Moisture</v>
      </c>
      <c r="AI50" s="2"/>
      <c r="AJ50" s="3">
        <f>IF($AG$45=0,0,AK45/$AK$45)</f>
        <v>0</v>
      </c>
    </row>
    <row r="51" spans="5:36" x14ac:dyDescent="0.3">
      <c r="P51" s="2" t="str">
        <f>H35</f>
        <v>Protein</v>
      </c>
      <c r="Q51" s="2"/>
      <c r="R51" s="3" t="e">
        <f>P45/$S$45</f>
        <v>#DIV/0!</v>
      </c>
      <c r="Y51" s="2" t="str">
        <f t="shared" ref="Y51:Y53" si="69">P51</f>
        <v>Protein</v>
      </c>
      <c r="Z51" s="2"/>
      <c r="AA51" s="3">
        <f>IF($AB$45=0,0,Y45/$AB$45)</f>
        <v>0</v>
      </c>
      <c r="AH51" s="2" t="str">
        <f t="shared" ref="AH51:AH53" si="70">Y51</f>
        <v>Protein</v>
      </c>
      <c r="AI51" s="2"/>
      <c r="AJ51" s="3">
        <f>IF($AB$45=0,0,AH45/$AB$45)</f>
        <v>0</v>
      </c>
    </row>
    <row r="52" spans="5:36" x14ac:dyDescent="0.3">
      <c r="P52" s="2" t="str">
        <f>I35</f>
        <v>Fat</v>
      </c>
      <c r="Q52" s="2"/>
      <c r="R52" s="3" t="e">
        <f>Q45/$S$45</f>
        <v>#DIV/0!</v>
      </c>
      <c r="Y52" s="2" t="str">
        <f t="shared" si="69"/>
        <v>Fat</v>
      </c>
      <c r="Z52" s="2"/>
      <c r="AA52" s="3">
        <f>IF($AB$45=0,0,Z45/$AB$45)</f>
        <v>0</v>
      </c>
      <c r="AH52" s="2" t="str">
        <f t="shared" si="70"/>
        <v>Fat</v>
      </c>
      <c r="AI52" s="2"/>
      <c r="AJ52" s="3">
        <f>IF($AB$45=0,0,AI45/$AB$45)</f>
        <v>0</v>
      </c>
    </row>
    <row r="53" spans="5:36" x14ac:dyDescent="0.3">
      <c r="P53" s="2" t="str">
        <f>J35</f>
        <v>Minerals</v>
      </c>
      <c r="Q53" s="2"/>
      <c r="R53" s="3" t="e">
        <f>R45/$S$45</f>
        <v>#DIV/0!</v>
      </c>
      <c r="Y53" s="2" t="str">
        <f t="shared" si="69"/>
        <v>Minerals</v>
      </c>
      <c r="Z53" s="2"/>
      <c r="AA53" s="3">
        <f>IF($AB$45=0,0,AA45/$AB$45)</f>
        <v>0</v>
      </c>
      <c r="AH53" s="2" t="str">
        <f t="shared" si="70"/>
        <v>Minerals</v>
      </c>
      <c r="AI53" s="2"/>
      <c r="AJ53" s="3">
        <f>IF($AB$45=0,0,AJ45/$AB$45)</f>
        <v>0</v>
      </c>
    </row>
    <row r="54" spans="5:36" x14ac:dyDescent="0.3">
      <c r="E54" t="s">
        <v>66</v>
      </c>
    </row>
    <row r="55" spans="5:36" x14ac:dyDescent="0.3">
      <c r="F55" t="s">
        <v>69</v>
      </c>
    </row>
    <row r="56" spans="5:36" x14ac:dyDescent="0.3">
      <c r="E56" t="s">
        <v>67</v>
      </c>
      <c r="F56">
        <f>IF(M20&gt;0,1,0)</f>
        <v>0</v>
      </c>
      <c r="G56">
        <f>F56-AC8</f>
        <v>-1</v>
      </c>
      <c r="H56">
        <f>IF(G56=1,1,0)*IF($R$4&gt;1,1,0)</f>
        <v>0</v>
      </c>
      <c r="I56">
        <f>IF(G56=1,1,0)*IF($W$4=1,1,0)</f>
        <v>0</v>
      </c>
    </row>
    <row r="57" spans="5:36" x14ac:dyDescent="0.3">
      <c r="E57" t="s">
        <v>46</v>
      </c>
      <c r="F57">
        <f>IF(M21&gt;0,1,0)</f>
        <v>0</v>
      </c>
      <c r="G57">
        <f>F57-AC9</f>
        <v>-1</v>
      </c>
      <c r="H57">
        <f t="shared" ref="H57:H58" si="71">IF(G57=1,1,0)*IF($R$4&gt;1,1,0)</f>
        <v>0</v>
      </c>
      <c r="I57">
        <f t="shared" ref="I57:I58" si="72">IF(G57=1,1,0)*IF($W$4=1,1,0)</f>
        <v>0</v>
      </c>
    </row>
    <row r="58" spans="5:36" x14ac:dyDescent="0.3">
      <c r="E58" t="s">
        <v>68</v>
      </c>
      <c r="F58">
        <f>IF(M22&gt;0,1,0)</f>
        <v>0</v>
      </c>
      <c r="G58">
        <f>F58-AC10</f>
        <v>-1</v>
      </c>
      <c r="H58">
        <f t="shared" si="71"/>
        <v>0</v>
      </c>
      <c r="I58">
        <f t="shared" si="72"/>
        <v>0</v>
      </c>
    </row>
    <row r="59" spans="5:36" x14ac:dyDescent="0.3">
      <c r="H59">
        <f>SUM(H56:H58)</f>
        <v>0</v>
      </c>
      <c r="I59">
        <f>SUM(I56:I58)</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7:P30"/>
  <sheetViews>
    <sheetView workbookViewId="0">
      <selection activeCell="K13" sqref="K13"/>
    </sheetView>
  </sheetViews>
  <sheetFormatPr defaultRowHeight="14.4" x14ac:dyDescent="0.3"/>
  <cols>
    <col min="3" max="3" width="25.109375" customWidth="1"/>
    <col min="11" max="11" width="24.88671875" customWidth="1"/>
    <col min="14" max="14" width="20.33203125" customWidth="1"/>
  </cols>
  <sheetData>
    <row r="7" spans="4:16" x14ac:dyDescent="0.3">
      <c r="D7" s="4" t="s">
        <v>29</v>
      </c>
      <c r="E7" s="4"/>
      <c r="F7" s="4"/>
      <c r="G7" s="4"/>
      <c r="H7" s="4"/>
      <c r="I7" s="4"/>
      <c r="J7" s="4"/>
      <c r="K7" s="4"/>
      <c r="L7" s="4"/>
      <c r="M7" s="4"/>
      <c r="N7" s="4"/>
      <c r="O7" s="4"/>
      <c r="P7" s="4"/>
    </row>
    <row r="8" spans="4:16" x14ac:dyDescent="0.3">
      <c r="D8" s="4"/>
      <c r="E8" s="4"/>
      <c r="F8" s="4"/>
      <c r="G8" s="4"/>
      <c r="H8" s="4"/>
      <c r="I8" s="4"/>
      <c r="J8" s="4"/>
      <c r="K8" s="4" t="s">
        <v>41</v>
      </c>
      <c r="L8" s="4"/>
      <c r="M8" s="4"/>
      <c r="N8" s="4" t="s">
        <v>30</v>
      </c>
      <c r="O8" s="4"/>
      <c r="P8" s="4"/>
    </row>
    <row r="9" spans="4:16" x14ac:dyDescent="0.3">
      <c r="D9" s="4">
        <v>1</v>
      </c>
      <c r="E9" s="4" t="s">
        <v>5</v>
      </c>
      <c r="F9" s="4"/>
      <c r="G9" s="4"/>
      <c r="H9" s="4"/>
      <c r="I9" s="4"/>
      <c r="J9" s="4"/>
      <c r="K9" s="4"/>
      <c r="L9" s="4"/>
      <c r="M9" s="4"/>
      <c r="N9" s="4"/>
      <c r="O9" s="4"/>
      <c r="P9" s="4"/>
    </row>
    <row r="10" spans="4:16" x14ac:dyDescent="0.3">
      <c r="D10" s="4">
        <v>2</v>
      </c>
      <c r="E10" s="4" t="s">
        <v>6</v>
      </c>
      <c r="F10" s="4"/>
      <c r="G10" s="4"/>
      <c r="H10" s="4"/>
      <c r="I10" s="4"/>
      <c r="J10" s="4"/>
      <c r="K10" s="4">
        <v>40000</v>
      </c>
      <c r="L10" s="4" t="s">
        <v>23</v>
      </c>
      <c r="M10" s="22">
        <f>IF('Chemical content'!$I$4=D10,K10,0)*IF('Chemical content'!$L$4=2,1,0)</f>
        <v>0</v>
      </c>
      <c r="N10" s="4">
        <v>70000</v>
      </c>
      <c r="O10" s="4" t="s">
        <v>23</v>
      </c>
      <c r="P10" s="22">
        <f>IF('Chemical content'!$I$4=D10,N10,0)*IF('Chemical content'!$L$4=2,1,0)</f>
        <v>0</v>
      </c>
    </row>
    <row r="11" spans="4:16" x14ac:dyDescent="0.3">
      <c r="D11" s="4">
        <v>3</v>
      </c>
      <c r="E11" s="4" t="s">
        <v>7</v>
      </c>
      <c r="F11" s="4"/>
      <c r="G11" s="4"/>
      <c r="H11" s="4"/>
      <c r="I11" s="4"/>
      <c r="J11" s="4"/>
      <c r="K11" s="4">
        <v>90000</v>
      </c>
      <c r="L11" s="4" t="s">
        <v>23</v>
      </c>
      <c r="M11" s="22">
        <f>IF('Chemical content'!$I$4=D11,K11,0)*IF('Chemical content'!$L$4=2,1,0)</f>
        <v>0</v>
      </c>
      <c r="N11" s="4">
        <v>100000</v>
      </c>
      <c r="O11" s="4" t="s">
        <v>23</v>
      </c>
      <c r="P11" s="22">
        <f>IF('Chemical content'!$I$4=D11,N11,0)*IF('Chemical content'!$L$4=2,1,0)</f>
        <v>0</v>
      </c>
    </row>
    <row r="12" spans="4:16" x14ac:dyDescent="0.3">
      <c r="D12" s="4">
        <v>4</v>
      </c>
      <c r="E12" s="4" t="s">
        <v>8</v>
      </c>
      <c r="F12" s="4"/>
      <c r="G12" s="4"/>
      <c r="H12" s="4"/>
      <c r="I12" s="4"/>
      <c r="J12" s="4"/>
      <c r="K12" s="4">
        <v>300000</v>
      </c>
      <c r="L12" s="4" t="s">
        <v>23</v>
      </c>
      <c r="M12" s="22">
        <f>IF('Chemical content'!$I$4=D12,K12,0)*IF('Chemical content'!$L$4=2,1,0)</f>
        <v>0</v>
      </c>
      <c r="N12" s="4">
        <v>215000</v>
      </c>
      <c r="O12" s="4" t="s">
        <v>23</v>
      </c>
      <c r="P12" s="22">
        <f>IF('Chemical content'!$I$4=D12,N12,0)*IF('Chemical content'!$L$4=2,1,0)</f>
        <v>0</v>
      </c>
    </row>
    <row r="13" spans="4:16" x14ac:dyDescent="0.3">
      <c r="D13" s="4">
        <v>5</v>
      </c>
      <c r="E13" s="4" t="s">
        <v>9</v>
      </c>
      <c r="F13" s="4"/>
      <c r="G13" s="4"/>
      <c r="H13" s="4"/>
      <c r="I13" s="4"/>
      <c r="J13" s="4"/>
      <c r="K13" s="4">
        <v>0</v>
      </c>
      <c r="L13" s="4" t="s">
        <v>23</v>
      </c>
      <c r="M13" s="22">
        <f>IF('Chemical content'!$I$4=D13,K13,0)*IF('Chemical content'!$L$4=2,1,0)</f>
        <v>0</v>
      </c>
      <c r="N13" s="4">
        <v>0</v>
      </c>
      <c r="O13" s="4" t="s">
        <v>23</v>
      </c>
      <c r="P13" s="22">
        <f>IF('Chemical content'!$I$4=D13,N13,0)*IF('Chemical content'!$L$4=2,1,0)</f>
        <v>0</v>
      </c>
    </row>
    <row r="14" spans="4:16" x14ac:dyDescent="0.3">
      <c r="D14" s="4">
        <v>6</v>
      </c>
      <c r="E14" t="s">
        <v>74</v>
      </c>
      <c r="F14" s="4"/>
      <c r="G14" s="4"/>
      <c r="H14" s="4"/>
      <c r="I14" s="4"/>
      <c r="J14" s="4"/>
      <c r="K14" s="4">
        <v>0</v>
      </c>
      <c r="L14" s="4" t="s">
        <v>23</v>
      </c>
      <c r="M14" s="22">
        <f>IF('Chemical content'!$I$4=D14,K14,0)*IF('Chemical content'!$L$4=2,1,0)</f>
        <v>0</v>
      </c>
      <c r="N14" s="4">
        <v>0</v>
      </c>
      <c r="O14" s="4" t="s">
        <v>23</v>
      </c>
      <c r="P14" s="22">
        <f>IF('Chemical content'!$I$4=D14,N14,0)*IF('Chemical content'!$L$4=2,1,0)</f>
        <v>0</v>
      </c>
    </row>
    <row r="21" spans="3:4" x14ac:dyDescent="0.3">
      <c r="C21" t="s">
        <v>32</v>
      </c>
    </row>
    <row r="22" spans="3:4" x14ac:dyDescent="0.3">
      <c r="C22" t="s">
        <v>33</v>
      </c>
      <c r="D22" t="s">
        <v>23</v>
      </c>
    </row>
    <row r="23" spans="3:4" x14ac:dyDescent="0.3">
      <c r="C23" t="s">
        <v>34</v>
      </c>
      <c r="D23">
        <v>22000</v>
      </c>
    </row>
    <row r="24" spans="3:4" x14ac:dyDescent="0.3">
      <c r="C24" t="s">
        <v>35</v>
      </c>
      <c r="D24">
        <v>37000</v>
      </c>
    </row>
    <row r="25" spans="3:4" x14ac:dyDescent="0.3">
      <c r="C25" t="s">
        <v>36</v>
      </c>
      <c r="D25">
        <v>50000</v>
      </c>
    </row>
    <row r="26" spans="3:4" x14ac:dyDescent="0.3">
      <c r="C26" t="s">
        <v>37</v>
      </c>
      <c r="D26">
        <v>50000</v>
      </c>
    </row>
    <row r="27" spans="3:4" x14ac:dyDescent="0.3">
      <c r="C27" t="s">
        <v>38</v>
      </c>
      <c r="D27">
        <v>30000</v>
      </c>
    </row>
    <row r="28" spans="3:4" x14ac:dyDescent="0.3">
      <c r="C28" t="s">
        <v>39</v>
      </c>
      <c r="D28">
        <v>16000</v>
      </c>
    </row>
    <row r="29" spans="3:4" x14ac:dyDescent="0.3">
      <c r="C29" t="s">
        <v>40</v>
      </c>
      <c r="D29">
        <v>10000</v>
      </c>
    </row>
    <row r="30" spans="3:4" x14ac:dyDescent="0.3">
      <c r="C30" t="s">
        <v>25</v>
      </c>
      <c r="D30">
        <v>215000</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4:R15"/>
  <sheetViews>
    <sheetView workbookViewId="0">
      <selection activeCell="L16" sqref="L16"/>
    </sheetView>
  </sheetViews>
  <sheetFormatPr defaultRowHeight="14.4" x14ac:dyDescent="0.3"/>
  <sheetData>
    <row r="4" spans="4:18" x14ac:dyDescent="0.3">
      <c r="K4" t="s">
        <v>71</v>
      </c>
    </row>
    <row r="5" spans="4:18" x14ac:dyDescent="0.3">
      <c r="D5">
        <v>1</v>
      </c>
      <c r="E5" t="s">
        <v>5</v>
      </c>
      <c r="K5" t="s">
        <v>51</v>
      </c>
      <c r="L5" t="s">
        <v>46</v>
      </c>
      <c r="P5" t="s">
        <v>51</v>
      </c>
      <c r="Q5" t="s">
        <v>46</v>
      </c>
    </row>
    <row r="6" spans="4:18" x14ac:dyDescent="0.3">
      <c r="D6">
        <v>2</v>
      </c>
      <c r="E6" t="str">
        <f>'Chemical content'!E5</f>
        <v>10-15 meter hook &amp; line coastal vessels (N-Atlantic)</v>
      </c>
      <c r="K6">
        <v>1</v>
      </c>
      <c r="L6">
        <v>0.6</v>
      </c>
      <c r="M6" t="s">
        <v>55</v>
      </c>
      <c r="P6">
        <f>K6*1000</f>
        <v>1000</v>
      </c>
      <c r="Q6">
        <f>L6*1000</f>
        <v>600</v>
      </c>
      <c r="R6" t="s">
        <v>56</v>
      </c>
    </row>
    <row r="7" spans="4:18" x14ac:dyDescent="0.3">
      <c r="D7">
        <v>3</v>
      </c>
      <c r="E7" t="str">
        <f>'Chemical content'!E6</f>
        <v xml:space="preserve">18-30 meter North Sea Danish seine/bottom trawler </v>
      </c>
      <c r="K7">
        <v>1</v>
      </c>
      <c r="L7">
        <v>0.6</v>
      </c>
      <c r="M7" t="s">
        <v>55</v>
      </c>
      <c r="P7">
        <f>K7*1000</f>
        <v>1000</v>
      </c>
      <c r="Q7">
        <f t="shared" ref="Q7:Q9" si="0">L7*1000</f>
        <v>600</v>
      </c>
      <c r="R7" t="s">
        <v>56</v>
      </c>
    </row>
    <row r="8" spans="4:18" x14ac:dyDescent="0.3">
      <c r="D8">
        <v>4</v>
      </c>
      <c r="E8" t="str">
        <f>'Chemical content'!E7</f>
        <v>34-44 meter Bay of Biscay bottom trawler</v>
      </c>
      <c r="K8">
        <v>1</v>
      </c>
      <c r="L8">
        <v>0.6</v>
      </c>
      <c r="M8" t="s">
        <v>55</v>
      </c>
      <c r="P8">
        <f t="shared" ref="P8:P9" si="1">K8*1000</f>
        <v>1000</v>
      </c>
      <c r="Q8">
        <f t="shared" si="0"/>
        <v>600</v>
      </c>
      <c r="R8" t="s">
        <v>56</v>
      </c>
    </row>
    <row r="9" spans="4:18" x14ac:dyDescent="0.3">
      <c r="D9">
        <v>5</v>
      </c>
      <c r="E9" t="str">
        <f>'Chemical content'!E8</f>
        <v>40-60 meter N-Atlantic (UK) fresh fish bottom trawler</v>
      </c>
      <c r="K9">
        <v>1</v>
      </c>
      <c r="L9">
        <v>0.6</v>
      </c>
      <c r="M9" t="s">
        <v>55</v>
      </c>
      <c r="P9">
        <f t="shared" si="1"/>
        <v>1000</v>
      </c>
      <c r="Q9">
        <f t="shared" si="0"/>
        <v>600</v>
      </c>
      <c r="R9" t="s">
        <v>56</v>
      </c>
    </row>
    <row r="10" spans="4:18" x14ac:dyDescent="0.3">
      <c r="D10">
        <v>6</v>
      </c>
      <c r="E10" t="str">
        <f>'Chemical content'!E9</f>
        <v>60-150 meter N-Atlantic (UK) Large factory trawler</v>
      </c>
      <c r="K10">
        <v>1</v>
      </c>
      <c r="L10">
        <v>0.6</v>
      </c>
      <c r="M10" t="s">
        <v>55</v>
      </c>
      <c r="P10">
        <f t="shared" ref="P10" si="2">K10*1000</f>
        <v>1000</v>
      </c>
      <c r="Q10">
        <f t="shared" ref="Q10" si="3">L10*1000</f>
        <v>600</v>
      </c>
      <c r="R10" t="s">
        <v>56</v>
      </c>
    </row>
    <row r="15" spans="4:18" x14ac:dyDescent="0.3">
      <c r="K15" t="s">
        <v>110</v>
      </c>
      <c r="L15">
        <f>'Chemical content'!M20*'Chemical content'!AB8*landings.uuc.mcrs!P6+'Chemical content'!M21*landings.uuc.mcrs!Q6*'Chemical content'!AB9</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9C9DF-09F0-4788-932B-9B0BA4163728}">
  <dimension ref="A4:W63"/>
  <sheetViews>
    <sheetView topLeftCell="A16" workbookViewId="0">
      <selection activeCell="N27" sqref="N27"/>
    </sheetView>
  </sheetViews>
  <sheetFormatPr defaultRowHeight="14.4" x14ac:dyDescent="0.3"/>
  <cols>
    <col min="4" max="4" width="50.5546875" customWidth="1"/>
    <col min="5" max="5" width="13.109375" customWidth="1"/>
    <col min="6" max="6" width="13.33203125" customWidth="1"/>
    <col min="9" max="9" width="18.5546875" customWidth="1"/>
    <col min="10" max="10" width="10.44140625" customWidth="1"/>
    <col min="14" max="14" width="18.5546875" customWidth="1"/>
    <col min="16" max="16" width="21.88671875" customWidth="1"/>
    <col min="17" max="17" width="13.5546875" customWidth="1"/>
    <col min="18" max="18" width="19.109375" customWidth="1"/>
  </cols>
  <sheetData>
    <row r="4" spans="4:10" x14ac:dyDescent="0.3">
      <c r="D4" t="s">
        <v>80</v>
      </c>
    </row>
    <row r="5" spans="4:10" x14ac:dyDescent="0.3">
      <c r="E5">
        <v>1</v>
      </c>
      <c r="F5">
        <v>2</v>
      </c>
      <c r="G5">
        <v>3</v>
      </c>
      <c r="H5">
        <v>4</v>
      </c>
      <c r="I5">
        <v>5</v>
      </c>
      <c r="J5">
        <v>6</v>
      </c>
    </row>
    <row r="6" spans="4:10" x14ac:dyDescent="0.3">
      <c r="F6" t="s">
        <v>89</v>
      </c>
      <c r="G6" t="s">
        <v>90</v>
      </c>
      <c r="H6" t="s">
        <v>81</v>
      </c>
      <c r="I6" t="s">
        <v>82</v>
      </c>
      <c r="J6" t="s">
        <v>83</v>
      </c>
    </row>
    <row r="8" spans="4:10" x14ac:dyDescent="0.3">
      <c r="D8" s="1" t="str">
        <f>'Chemical content'!Y48</f>
        <v>Volume</v>
      </c>
      <c r="E8">
        <f t="shared" ref="E8:F8" si="0">F8</f>
        <v>0</v>
      </c>
      <c r="F8">
        <f t="shared" si="0"/>
        <v>0</v>
      </c>
      <c r="G8">
        <f>H8</f>
        <v>0</v>
      </c>
      <c r="H8">
        <f>I8</f>
        <v>0</v>
      </c>
      <c r="I8">
        <f>'Chemical content'!AA48</f>
        <v>0</v>
      </c>
      <c r="J8">
        <f>I8</f>
        <v>0</v>
      </c>
    </row>
    <row r="9" spans="4:10" x14ac:dyDescent="0.3">
      <c r="E9">
        <f t="shared" ref="E9:G9" si="1">F9</f>
        <v>0</v>
      </c>
      <c r="F9">
        <f t="shared" si="1"/>
        <v>0</v>
      </c>
      <c r="G9">
        <f t="shared" si="1"/>
        <v>0</v>
      </c>
    </row>
    <row r="10" spans="4:10" x14ac:dyDescent="0.3">
      <c r="D10" t="str">
        <f>'Chemical content'!Y50</f>
        <v>Moisture</v>
      </c>
      <c r="E10">
        <f t="shared" ref="E10:G10" si="2">F10</f>
        <v>0</v>
      </c>
      <c r="F10">
        <f t="shared" si="2"/>
        <v>0</v>
      </c>
      <c r="G10">
        <f t="shared" si="2"/>
        <v>0</v>
      </c>
      <c r="H10">
        <f>I10</f>
        <v>0</v>
      </c>
      <c r="I10">
        <f>'Chemical content'!AA50</f>
        <v>0</v>
      </c>
      <c r="J10">
        <f>I10</f>
        <v>0</v>
      </c>
    </row>
    <row r="11" spans="4:10" x14ac:dyDescent="0.3">
      <c r="D11" t="str">
        <f>'Chemical content'!Y51</f>
        <v>Protein</v>
      </c>
      <c r="E11">
        <f t="shared" ref="E11:G11" si="3">F11</f>
        <v>0</v>
      </c>
      <c r="F11">
        <f t="shared" si="3"/>
        <v>0</v>
      </c>
      <c r="G11">
        <f t="shared" si="3"/>
        <v>0</v>
      </c>
      <c r="H11">
        <f>I11</f>
        <v>0</v>
      </c>
      <c r="I11">
        <f>'Chemical content'!AA51</f>
        <v>0</v>
      </c>
      <c r="J11">
        <f>I11</f>
        <v>0</v>
      </c>
    </row>
    <row r="12" spans="4:10" x14ac:dyDescent="0.3">
      <c r="D12" t="str">
        <f>'Chemical content'!Y52</f>
        <v>Fat</v>
      </c>
      <c r="E12">
        <f t="shared" ref="E12:G12" si="4">F12</f>
        <v>0</v>
      </c>
      <c r="F12">
        <f t="shared" si="4"/>
        <v>0</v>
      </c>
      <c r="G12">
        <f t="shared" si="4"/>
        <v>0</v>
      </c>
      <c r="H12">
        <f>I12</f>
        <v>0</v>
      </c>
      <c r="I12">
        <f>'Chemical content'!AA52</f>
        <v>0</v>
      </c>
      <c r="J12">
        <f>I12</f>
        <v>0</v>
      </c>
    </row>
    <row r="13" spans="4:10" x14ac:dyDescent="0.3">
      <c r="D13" t="str">
        <f>'Chemical content'!Y53</f>
        <v>Minerals</v>
      </c>
      <c r="E13">
        <f t="shared" ref="E13:G13" si="5">F13</f>
        <v>0</v>
      </c>
      <c r="F13">
        <f t="shared" si="5"/>
        <v>0</v>
      </c>
      <c r="G13">
        <f t="shared" si="5"/>
        <v>0</v>
      </c>
      <c r="H13">
        <f>I13</f>
        <v>0</v>
      </c>
      <c r="I13">
        <f>'Chemical content'!AA53</f>
        <v>0</v>
      </c>
      <c r="J13">
        <f>I13</f>
        <v>0</v>
      </c>
    </row>
    <row r="16" spans="4:10" x14ac:dyDescent="0.3">
      <c r="D16" s="1" t="s">
        <v>84</v>
      </c>
      <c r="H16">
        <f>H8-H18</f>
        <v>0</v>
      </c>
      <c r="I16">
        <f t="shared" ref="I16:J16" si="6">I8-I18</f>
        <v>0</v>
      </c>
      <c r="J16">
        <f t="shared" si="6"/>
        <v>0</v>
      </c>
    </row>
    <row r="17" spans="1:23" x14ac:dyDescent="0.3">
      <c r="R17" t="s">
        <v>91</v>
      </c>
    </row>
    <row r="18" spans="1:23" x14ac:dyDescent="0.3">
      <c r="D18" s="1" t="s">
        <v>22</v>
      </c>
      <c r="G18">
        <f>G8*(1-G10-G12)/(1-G19-G21)</f>
        <v>0</v>
      </c>
      <c r="H18" s="11">
        <f>0.7*I18</f>
        <v>0</v>
      </c>
      <c r="I18">
        <f>H8*(1-H10-H12)/(1-I19-I21)</f>
        <v>0</v>
      </c>
      <c r="J18" s="11">
        <f>I18*0.8</f>
        <v>0</v>
      </c>
      <c r="R18">
        <v>1</v>
      </c>
      <c r="S18">
        <v>2</v>
      </c>
      <c r="T18">
        <v>3</v>
      </c>
      <c r="U18">
        <v>4</v>
      </c>
      <c r="V18">
        <v>5</v>
      </c>
      <c r="W18">
        <v>6</v>
      </c>
    </row>
    <row r="19" spans="1:23" x14ac:dyDescent="0.3">
      <c r="D19" t="s">
        <v>16</v>
      </c>
      <c r="G19" s="2">
        <v>0.5</v>
      </c>
      <c r="H19" s="2">
        <v>0.09</v>
      </c>
      <c r="I19" s="2">
        <v>0.09</v>
      </c>
      <c r="J19" s="2">
        <v>0.09</v>
      </c>
      <c r="Q19" t="str">
        <f>'Chemical content'!E3</f>
        <v>Fleet segment</v>
      </c>
      <c r="S19" t="s">
        <v>89</v>
      </c>
      <c r="T19" t="s">
        <v>90</v>
      </c>
      <c r="U19" t="s">
        <v>81</v>
      </c>
      <c r="V19" t="s">
        <v>82</v>
      </c>
      <c r="W19" t="s">
        <v>83</v>
      </c>
    </row>
    <row r="20" spans="1:23" x14ac:dyDescent="0.3">
      <c r="D20" t="s">
        <v>17</v>
      </c>
      <c r="G20">
        <f>IF(G18=0,0,G8*G11/G18)</f>
        <v>0</v>
      </c>
      <c r="H20" s="11">
        <f>0.9*I20</f>
        <v>0</v>
      </c>
      <c r="I20">
        <f>IF(I18=0,0,I8*I11/I18)</f>
        <v>0</v>
      </c>
      <c r="J20" s="11">
        <f>0.9*I20</f>
        <v>0</v>
      </c>
      <c r="Q20" t="str">
        <f>'Chemical content'!E4</f>
        <v>None</v>
      </c>
    </row>
    <row r="21" spans="1:23" x14ac:dyDescent="0.3">
      <c r="D21" t="s">
        <v>44</v>
      </c>
      <c r="G21" s="2">
        <v>2.7E-2</v>
      </c>
      <c r="H21" s="2">
        <v>0.06</v>
      </c>
      <c r="I21" s="2">
        <v>0.06</v>
      </c>
      <c r="J21" s="2">
        <v>0.06</v>
      </c>
      <c r="Q21" t="str">
        <f>'Chemical content'!E5</f>
        <v>10-15 meter hook &amp; line coastal vessels (N-Atlantic)</v>
      </c>
    </row>
    <row r="22" spans="1:23" x14ac:dyDescent="0.3">
      <c r="D22" t="s">
        <v>21</v>
      </c>
      <c r="G22">
        <f>1-G19-G20-G21</f>
        <v>0.47299999999999998</v>
      </c>
      <c r="H22">
        <f>1-H19-H20-H21</f>
        <v>0.85000000000000009</v>
      </c>
      <c r="I22">
        <f>1-I19-I20-I21</f>
        <v>0.85000000000000009</v>
      </c>
      <c r="J22">
        <f>1-J19-J20-J21</f>
        <v>0.85000000000000009</v>
      </c>
      <c r="Q22" t="str">
        <f>'Chemical content'!E6</f>
        <v xml:space="preserve">18-30 meter North Sea Danish seine/bottom trawler </v>
      </c>
    </row>
    <row r="23" spans="1:23" x14ac:dyDescent="0.3">
      <c r="Q23" t="str">
        <f>'Chemical content'!E7</f>
        <v>34-44 meter Bay of Biscay bottom trawler</v>
      </c>
    </row>
    <row r="24" spans="1:23" x14ac:dyDescent="0.3">
      <c r="D24" s="1" t="s">
        <v>85</v>
      </c>
      <c r="G24">
        <f>G8*G12-G18*G21</f>
        <v>0</v>
      </c>
      <c r="H24" s="1">
        <v>0</v>
      </c>
      <c r="I24" s="1">
        <f>I8*I12-I18*I21</f>
        <v>0</v>
      </c>
      <c r="J24" s="1">
        <f>I24</f>
        <v>0</v>
      </c>
      <c r="Q24" t="str">
        <f>'Chemical content'!E8</f>
        <v>40-60 meter N-Atlantic (UK) fresh fish bottom trawler</v>
      </c>
    </row>
    <row r="25" spans="1:23" x14ac:dyDescent="0.3">
      <c r="D25" s="36" t="s">
        <v>88</v>
      </c>
      <c r="E25" s="36"/>
      <c r="Q25" t="str">
        <f>'Chemical content'!E9</f>
        <v>60-150 meter N-Atlantic (UK) Large factory trawler</v>
      </c>
    </row>
    <row r="26" spans="1:23" ht="23.25" customHeight="1" x14ac:dyDescent="0.3">
      <c r="A26" s="40" t="s">
        <v>88</v>
      </c>
      <c r="B26" s="41" t="e">
        <f>SUM(#REF!)</f>
        <v>#REF!</v>
      </c>
      <c r="D26" s="40" t="s">
        <v>88</v>
      </c>
      <c r="F26" s="36">
        <f>F8*F11*O46*0.6</f>
        <v>0</v>
      </c>
      <c r="G26" s="36">
        <f>G24*$O$49+G18*G20*$O$46*0.6</f>
        <v>0</v>
      </c>
      <c r="H26" s="36">
        <f>$O$46*(H18*H20)+H24*$O$49</f>
        <v>0</v>
      </c>
      <c r="I26" s="36">
        <f>$O$46*(I18*I20)+I24*$O$49</f>
        <v>0</v>
      </c>
      <c r="J26" s="36">
        <f>$O$46*(J18*J20)+J24*$O$49</f>
        <v>0</v>
      </c>
      <c r="Q26">
        <f>'Chemical content'!R4-1</f>
        <v>0</v>
      </c>
    </row>
    <row r="27" spans="1:23" ht="23.25" customHeight="1" x14ac:dyDescent="0.3">
      <c r="A27" s="42"/>
      <c r="B27" s="44"/>
      <c r="D27" s="42" t="s">
        <v>96</v>
      </c>
      <c r="F27" s="43">
        <v>0</v>
      </c>
      <c r="G27" s="43">
        <f>16.25*G8</f>
        <v>0</v>
      </c>
      <c r="H27" s="43">
        <f>4.24*H8</f>
        <v>0</v>
      </c>
      <c r="I27" s="43">
        <f>46.6*I8</f>
        <v>0</v>
      </c>
      <c r="J27" s="43">
        <f>9.41*J8</f>
        <v>0</v>
      </c>
      <c r="P27" s="40" t="s">
        <v>88</v>
      </c>
      <c r="Q27" s="55" t="e">
        <f>INDEX($F$26:$J$47,R27,$Q$26)</f>
        <v>#VALUE!</v>
      </c>
      <c r="R27">
        <v>1</v>
      </c>
    </row>
    <row r="28" spans="1:23" ht="23.25" customHeight="1" x14ac:dyDescent="0.3">
      <c r="A28" s="42"/>
      <c r="B28" s="44"/>
      <c r="D28" s="66" t="s">
        <v>114</v>
      </c>
      <c r="F28" s="43">
        <f>IF('Chemical content'!I4=6,((F8/0.8)/24)*280,0)</f>
        <v>0</v>
      </c>
      <c r="G28" s="43">
        <f>((G18/0.62)/24)*280+((G24/0.92)/24)*280</f>
        <v>0</v>
      </c>
      <c r="H28" s="57">
        <f>((H18/0.59)/1.2)*4+((H24/0.92)/24)*280</f>
        <v>0</v>
      </c>
      <c r="I28" s="57">
        <f t="shared" ref="I28:J28" si="7">((I18/0.59)/1.2)*4+((I24/0.92)/24)*280</f>
        <v>0</v>
      </c>
      <c r="J28" s="57">
        <f t="shared" si="7"/>
        <v>0</v>
      </c>
      <c r="P28" s="42"/>
      <c r="Q28" s="55"/>
    </row>
    <row r="29" spans="1:23" ht="23.25" customHeight="1" x14ac:dyDescent="0.3">
      <c r="A29" s="42"/>
      <c r="B29" s="44"/>
      <c r="D29" s="42" t="s">
        <v>97</v>
      </c>
      <c r="F29" s="44">
        <f>(200/1000000)*F8*1000+(0.035)*F8*700</f>
        <v>0</v>
      </c>
      <c r="G29" s="44">
        <f>(200/1000000)*G8*1000+(0.035)*G8*700</f>
        <v>0</v>
      </c>
      <c r="H29" s="43">
        <f>(200/1000000)*H18*4*1000</f>
        <v>0</v>
      </c>
      <c r="I29" s="43">
        <f t="shared" ref="I29:J29" si="8">(200/1000000)*I18*4*1000</f>
        <v>0</v>
      </c>
      <c r="J29" s="43">
        <f t="shared" si="8"/>
        <v>0</v>
      </c>
      <c r="L29">
        <f>(77+347+34)/914</f>
        <v>0.5010940919037199</v>
      </c>
      <c r="P29" s="42" t="s">
        <v>96</v>
      </c>
      <c r="Q29" s="55" t="e">
        <f>INDEX($F$26:$J$47,R29,$Q$26)</f>
        <v>#VALUE!</v>
      </c>
      <c r="R29">
        <v>2</v>
      </c>
    </row>
    <row r="30" spans="1:23" x14ac:dyDescent="0.3">
      <c r="A30" s="42" t="s">
        <v>96</v>
      </c>
      <c r="B30" s="43">
        <v>0</v>
      </c>
      <c r="D30" s="42" t="s">
        <v>98</v>
      </c>
      <c r="F30" s="55">
        <f>IF('Chemical content'!I4=6,0.317*F26,0.24*F26)</f>
        <v>0</v>
      </c>
      <c r="G30" s="55">
        <f>0.24*G26</f>
        <v>0</v>
      </c>
      <c r="H30" s="43">
        <f>0.317*H26</f>
        <v>0</v>
      </c>
      <c r="I30" s="43">
        <f t="shared" ref="I30:J30" si="9">0.317*I26</f>
        <v>0</v>
      </c>
      <c r="J30" s="43">
        <f t="shared" si="9"/>
        <v>0</v>
      </c>
      <c r="P30" s="42" t="s">
        <v>97</v>
      </c>
      <c r="Q30" s="55" t="e">
        <f>INDEX($F$26:$J$47,R30,$Q$26)</f>
        <v>#VALUE!</v>
      </c>
      <c r="R30">
        <v>3</v>
      </c>
    </row>
    <row r="31" spans="1:23" x14ac:dyDescent="0.3">
      <c r="A31" s="42"/>
      <c r="B31" s="43"/>
      <c r="D31" s="66" t="s">
        <v>113</v>
      </c>
      <c r="F31" s="46">
        <f>IF('Chemical content'!I4=6,(((F8/0.8)/1.2)/40)*2507,0)</f>
        <v>0</v>
      </c>
      <c r="G31" s="46">
        <f>(((G18/0.62)/1.2)/40)*2507+(((G24/0.92)/24))*2507</f>
        <v>0</v>
      </c>
      <c r="H31" s="57">
        <f>(((H18/0.59)/1.2)/40)*2507+(((H24/0.92)/24))*2507</f>
        <v>0</v>
      </c>
      <c r="I31" s="57">
        <f t="shared" ref="I31:J31" si="10">(((I18/0.59)/1.2)/40)*2507+(((I24/0.92)/24))*2507</f>
        <v>0</v>
      </c>
      <c r="J31" s="57">
        <f t="shared" si="10"/>
        <v>0</v>
      </c>
      <c r="P31" s="42"/>
      <c r="Q31" s="55"/>
    </row>
    <row r="32" spans="1:23" x14ac:dyDescent="0.3">
      <c r="A32" s="42"/>
      <c r="B32" s="43"/>
      <c r="D32" s="66" t="s">
        <v>47</v>
      </c>
      <c r="F32" s="55">
        <f>0.1*F31</f>
        <v>0</v>
      </c>
      <c r="G32" s="55">
        <f>0.1*G31</f>
        <v>0</v>
      </c>
      <c r="H32" s="55">
        <f t="shared" ref="H32:J32" si="11">0.1*H31</f>
        <v>0</v>
      </c>
      <c r="I32" s="55">
        <f t="shared" si="11"/>
        <v>0</v>
      </c>
      <c r="J32" s="55">
        <f t="shared" si="11"/>
        <v>0</v>
      </c>
      <c r="P32" s="42"/>
      <c r="Q32" s="55"/>
    </row>
    <row r="33" spans="1:21" x14ac:dyDescent="0.3">
      <c r="A33" s="42"/>
      <c r="B33" s="43"/>
      <c r="D33" s="45" t="s">
        <v>99</v>
      </c>
      <c r="F33" s="46">
        <f>IF('Chemical content'!I4=6,0,0.1*(SUM(F27:F30)))/(1-0.1)</f>
        <v>0</v>
      </c>
      <c r="G33" s="46"/>
      <c r="H33" s="46"/>
      <c r="I33" s="46"/>
      <c r="J33" s="46"/>
      <c r="P33" s="42" t="s">
        <v>98</v>
      </c>
      <c r="Q33" s="55" t="e">
        <f>INDEX($F$26:$J$47,R33,$Q$26)</f>
        <v>#VALUE!</v>
      </c>
      <c r="R33">
        <v>4</v>
      </c>
    </row>
    <row r="34" spans="1:21" x14ac:dyDescent="0.3">
      <c r="A34" s="42"/>
      <c r="B34" s="43"/>
      <c r="D34" s="47" t="s">
        <v>100</v>
      </c>
      <c r="F34" s="43">
        <f>SUM(F27:F33)</f>
        <v>0</v>
      </c>
      <c r="G34" s="43">
        <f>SUM(G27:G33)</f>
        <v>0</v>
      </c>
      <c r="H34" s="43">
        <f t="shared" ref="H34:J34" si="12">SUM(H27:H33)</f>
        <v>0</v>
      </c>
      <c r="I34" s="43">
        <f t="shared" si="12"/>
        <v>0</v>
      </c>
      <c r="J34" s="43">
        <f t="shared" si="12"/>
        <v>0</v>
      </c>
      <c r="P34" s="45" t="s">
        <v>99</v>
      </c>
      <c r="Q34" s="55" t="e">
        <f>INDEX($F$26:$J$47,R34,$Q$26)</f>
        <v>#VALUE!</v>
      </c>
      <c r="R34">
        <v>5</v>
      </c>
    </row>
    <row r="35" spans="1:21" x14ac:dyDescent="0.3">
      <c r="A35" s="42"/>
      <c r="B35" s="43"/>
      <c r="D35" s="47" t="s">
        <v>101</v>
      </c>
      <c r="F35" s="48">
        <f>(F26-F34)</f>
        <v>0</v>
      </c>
      <c r="G35" s="48">
        <f>(G26-G34)</f>
        <v>0</v>
      </c>
      <c r="H35" s="48">
        <f t="shared" ref="H35:J35" si="13">(H26-H34)</f>
        <v>0</v>
      </c>
      <c r="I35" s="48">
        <f t="shared" si="13"/>
        <v>0</v>
      </c>
      <c r="J35" s="48">
        <f t="shared" si="13"/>
        <v>0</v>
      </c>
      <c r="P35" s="47" t="s">
        <v>100</v>
      </c>
      <c r="Q35" s="69" t="e">
        <f>INDEX($F$26:$J$47,R35,$Q$26)</f>
        <v>#VALUE!</v>
      </c>
      <c r="R35">
        <v>6</v>
      </c>
    </row>
    <row r="36" spans="1:21" x14ac:dyDescent="0.3">
      <c r="A36" s="42"/>
      <c r="B36" s="43"/>
      <c r="D36" s="42"/>
      <c r="F36" s="43"/>
      <c r="G36" s="43"/>
      <c r="P36" s="47" t="s">
        <v>101</v>
      </c>
      <c r="Q36" s="69" t="e">
        <f>INDEX($F$26:$J$47,R36,$Q$26)</f>
        <v>#VALUE!</v>
      </c>
      <c r="R36">
        <v>7</v>
      </c>
      <c r="T36" s="47"/>
      <c r="U36" s="57"/>
    </row>
    <row r="37" spans="1:21" x14ac:dyDescent="0.3">
      <c r="A37" s="42"/>
      <c r="B37" s="43"/>
      <c r="D37" s="42" t="s">
        <v>30</v>
      </c>
      <c r="F37" s="49">
        <f>$E$63</f>
        <v>0</v>
      </c>
      <c r="G37" s="49">
        <f t="shared" ref="G37:J37" si="14">$E$63</f>
        <v>0</v>
      </c>
      <c r="H37" s="49">
        <f t="shared" si="14"/>
        <v>0</v>
      </c>
      <c r="I37" s="49">
        <f t="shared" si="14"/>
        <v>0</v>
      </c>
      <c r="J37" s="49">
        <f t="shared" si="14"/>
        <v>0</v>
      </c>
      <c r="P37" s="42"/>
      <c r="Q37" s="55"/>
      <c r="R37">
        <v>8</v>
      </c>
      <c r="T37" s="58"/>
      <c r="U37" s="59"/>
    </row>
    <row r="38" spans="1:21" x14ac:dyDescent="0.3">
      <c r="A38" s="42" t="s">
        <v>97</v>
      </c>
      <c r="B38" s="44" t="e">
        <f>(200/1000000)*SUM(#REF!)*5*1000+(0.035)*SUM(#REF!)*700</f>
        <v>#REF!</v>
      </c>
      <c r="D38" s="45"/>
      <c r="F38" s="46"/>
      <c r="G38" s="46"/>
      <c r="P38" s="42" t="s">
        <v>30</v>
      </c>
      <c r="Q38" s="55" t="e">
        <f>INDEX($F$26:$J$47,R38,$Q$26)</f>
        <v>#VALUE!</v>
      </c>
      <c r="R38">
        <v>9</v>
      </c>
      <c r="T38" s="42"/>
      <c r="U38" s="57"/>
    </row>
    <row r="39" spans="1:21" x14ac:dyDescent="0.3">
      <c r="A39" s="42"/>
      <c r="B39" s="44"/>
      <c r="D39" s="42" t="s">
        <v>102</v>
      </c>
      <c r="F39" s="43">
        <f>((0.03*(1+0.03)^(10))/((1+0.03)^(10)-1))*F37*0.7</f>
        <v>0</v>
      </c>
      <c r="G39" s="43">
        <f>((0.03*(1+0.03)^(10))/((1+0.03)^(10)-1))*G37*0.7</f>
        <v>0</v>
      </c>
      <c r="H39" s="43">
        <f t="shared" ref="H39:J39" si="15">((0.03*(1+0.03)^(10))/((1+0.03)^(10)-1))*H37*0.7</f>
        <v>0</v>
      </c>
      <c r="I39" s="43">
        <f t="shared" si="15"/>
        <v>0</v>
      </c>
      <c r="J39" s="43">
        <f t="shared" si="15"/>
        <v>0</v>
      </c>
      <c r="P39" s="45"/>
      <c r="Q39" s="55"/>
      <c r="R39">
        <v>10</v>
      </c>
      <c r="T39" s="60"/>
      <c r="U39" s="57"/>
    </row>
    <row r="40" spans="1:21" x14ac:dyDescent="0.3">
      <c r="A40" s="42" t="s">
        <v>98</v>
      </c>
      <c r="B40" s="44" t="e">
        <f>#REF!*B26</f>
        <v>#REF!</v>
      </c>
      <c r="D40" s="42" t="s">
        <v>103</v>
      </c>
      <c r="F40" s="43">
        <f t="shared" ref="F40:G40" si="16">0.02*F37</f>
        <v>0</v>
      </c>
      <c r="G40" s="43">
        <f t="shared" si="16"/>
        <v>0</v>
      </c>
      <c r="H40" s="43">
        <f t="shared" ref="H40:J40" si="17">0.02*H37</f>
        <v>0</v>
      </c>
      <c r="I40" s="43">
        <f t="shared" si="17"/>
        <v>0</v>
      </c>
      <c r="J40" s="43">
        <f t="shared" si="17"/>
        <v>0</v>
      </c>
      <c r="P40" s="42" t="s">
        <v>102</v>
      </c>
      <c r="Q40" s="55" t="e">
        <f>INDEX($F$26:$J$47,R40,$Q$26)</f>
        <v>#VALUE!</v>
      </c>
      <c r="R40">
        <v>11</v>
      </c>
      <c r="T40" s="42"/>
      <c r="U40" s="57"/>
    </row>
    <row r="41" spans="1:21" x14ac:dyDescent="0.3">
      <c r="A41" s="45" t="s">
        <v>99</v>
      </c>
      <c r="B41" s="46" t="e">
        <f>(0.1*(SUM(B30:B40)))/(1-0.1)</f>
        <v>#REF!</v>
      </c>
      <c r="D41" s="42" t="s">
        <v>104</v>
      </c>
      <c r="F41" s="43">
        <f>0.01*F37</f>
        <v>0</v>
      </c>
      <c r="G41" s="43">
        <f>0.01*G37</f>
        <v>0</v>
      </c>
      <c r="H41" s="43">
        <f t="shared" ref="H41:J41" si="18">0.01*H37</f>
        <v>0</v>
      </c>
      <c r="I41" s="43">
        <f t="shared" si="18"/>
        <v>0</v>
      </c>
      <c r="J41" s="43">
        <f t="shared" si="18"/>
        <v>0</v>
      </c>
      <c r="P41" s="42" t="s">
        <v>103</v>
      </c>
      <c r="Q41" s="55" t="e">
        <f>INDEX($F$26:$J$47,R41,$Q$26)</f>
        <v>#VALUE!</v>
      </c>
      <c r="R41">
        <v>12</v>
      </c>
      <c r="T41" s="42"/>
      <c r="U41" s="57"/>
    </row>
    <row r="42" spans="1:21" x14ac:dyDescent="0.3">
      <c r="A42" s="47" t="s">
        <v>100</v>
      </c>
      <c r="B42" s="43" t="e">
        <f>SUM(B30:B41)</f>
        <v>#REF!</v>
      </c>
      <c r="D42" s="45" t="s">
        <v>105</v>
      </c>
      <c r="F42" s="46">
        <f>F37*0.0584</f>
        <v>0</v>
      </c>
      <c r="G42" s="46">
        <f>G37*0.0584</f>
        <v>0</v>
      </c>
      <c r="H42" s="46">
        <f t="shared" ref="H42:J42" si="19">H37*0.0584</f>
        <v>0</v>
      </c>
      <c r="I42" s="46">
        <f t="shared" si="19"/>
        <v>0</v>
      </c>
      <c r="J42" s="46">
        <f t="shared" si="19"/>
        <v>0</v>
      </c>
      <c r="P42" s="42" t="s">
        <v>104</v>
      </c>
      <c r="Q42" s="55" t="e">
        <f>INDEX($F$26:$J$47,R42,$Q$26)</f>
        <v>#VALUE!</v>
      </c>
      <c r="R42">
        <v>13</v>
      </c>
      <c r="T42" s="42"/>
      <c r="U42" s="57"/>
    </row>
    <row r="43" spans="1:21" x14ac:dyDescent="0.3">
      <c r="A43" s="47" t="s">
        <v>101</v>
      </c>
      <c r="B43" s="48" t="e">
        <f>(B26-B42)</f>
        <v>#REF!</v>
      </c>
      <c r="D43" s="47" t="s">
        <v>106</v>
      </c>
      <c r="F43" s="50">
        <f t="shared" ref="F43:G43" si="20">SUM(F39:F42)</f>
        <v>0</v>
      </c>
      <c r="G43" s="50">
        <f t="shared" si="20"/>
        <v>0</v>
      </c>
      <c r="H43" s="50">
        <f t="shared" ref="H43:J43" si="21">SUM(H39:H42)</f>
        <v>0</v>
      </c>
      <c r="I43" s="50">
        <f t="shared" si="21"/>
        <v>0</v>
      </c>
      <c r="J43" s="50">
        <f t="shared" si="21"/>
        <v>0</v>
      </c>
      <c r="P43" s="45" t="s">
        <v>105</v>
      </c>
      <c r="Q43" s="55" t="e">
        <f>INDEX($F$26:$J$47,R43,$Q$26)</f>
        <v>#VALUE!</v>
      </c>
      <c r="R43">
        <v>14</v>
      </c>
      <c r="T43" s="51"/>
      <c r="U43" s="61"/>
    </row>
    <row r="44" spans="1:21" x14ac:dyDescent="0.3">
      <c r="A44" s="42"/>
      <c r="B44" s="43"/>
      <c r="D44" s="42"/>
      <c r="F44" s="44"/>
      <c r="G44" s="44"/>
      <c r="N44" s="33"/>
      <c r="O44" s="34" t="s">
        <v>71</v>
      </c>
      <c r="P44" s="47" t="s">
        <v>106</v>
      </c>
      <c r="Q44" s="55" t="e">
        <f>INDEX($F$26:$J$47,R44,$Q$26)</f>
        <v>#VALUE!</v>
      </c>
      <c r="R44">
        <v>15</v>
      </c>
      <c r="T44" s="51"/>
      <c r="U44" s="62"/>
    </row>
    <row r="45" spans="1:21" ht="27" x14ac:dyDescent="0.3">
      <c r="A45" s="42" t="s">
        <v>30</v>
      </c>
      <c r="B45" s="49">
        <v>166000</v>
      </c>
      <c r="D45" s="51" t="s">
        <v>107</v>
      </c>
      <c r="F45" s="50">
        <f>IF((F35-F43)*0.2&lt;0,0,(F35-F43)*0.2)</f>
        <v>0</v>
      </c>
      <c r="G45" s="50">
        <f t="shared" ref="G45:J45" si="22">IF((G35-G43)*0.2&lt;0,0,(G35-G43)*0.2)</f>
        <v>0</v>
      </c>
      <c r="H45" s="50">
        <f t="shared" si="22"/>
        <v>0</v>
      </c>
      <c r="I45" s="50">
        <f t="shared" si="22"/>
        <v>0</v>
      </c>
      <c r="J45" s="50">
        <f t="shared" si="22"/>
        <v>0</v>
      </c>
      <c r="N45" s="34" t="s">
        <v>86</v>
      </c>
      <c r="O45" s="35">
        <v>1296</v>
      </c>
      <c r="P45" s="42"/>
      <c r="Q45" s="55"/>
      <c r="R45">
        <v>16</v>
      </c>
      <c r="T45" s="42"/>
      <c r="U45" s="57"/>
    </row>
    <row r="46" spans="1:21" x14ac:dyDescent="0.3">
      <c r="A46" s="45"/>
      <c r="B46" s="46"/>
      <c r="D46" s="52"/>
      <c r="F46" s="53"/>
      <c r="G46" s="53"/>
      <c r="H46" s="53"/>
      <c r="I46" s="53"/>
      <c r="J46" s="53"/>
      <c r="N46" s="33" t="s">
        <v>24</v>
      </c>
      <c r="O46" s="35">
        <f>O45/0.65</f>
        <v>1993.8461538461538</v>
      </c>
      <c r="P46" s="51" t="s">
        <v>107</v>
      </c>
      <c r="Q46" s="55" t="e">
        <f>INDEX($F$26:$J$47,R46,$Q$26)</f>
        <v>#VALUE!</v>
      </c>
      <c r="R46">
        <v>17</v>
      </c>
      <c r="T46" s="63"/>
      <c r="U46" s="57"/>
    </row>
    <row r="47" spans="1:21" x14ac:dyDescent="0.3">
      <c r="A47" s="42" t="s">
        <v>102</v>
      </c>
      <c r="B47" s="43">
        <f>((0.03*(1+0.03)^(10))/((1+0.03)^(10)-1))*B45*0.7</f>
        <v>13622.184867519549</v>
      </c>
      <c r="D47" s="54" t="s">
        <v>108</v>
      </c>
      <c r="F47" s="48">
        <f>(F35-F43)-F45</f>
        <v>0</v>
      </c>
      <c r="G47" s="48">
        <f t="shared" ref="G47:J47" si="23">(G35-G43)-G45</f>
        <v>0</v>
      </c>
      <c r="H47" s="48">
        <f t="shared" si="23"/>
        <v>0</v>
      </c>
      <c r="I47" s="48">
        <f t="shared" si="23"/>
        <v>0</v>
      </c>
      <c r="J47" s="48">
        <f t="shared" si="23"/>
        <v>0</v>
      </c>
      <c r="N47" s="33"/>
      <c r="O47" s="35"/>
      <c r="P47" s="52"/>
      <c r="Q47" s="55"/>
      <c r="R47">
        <v>18</v>
      </c>
      <c r="T47" s="64"/>
      <c r="U47" s="65"/>
    </row>
    <row r="48" spans="1:21" x14ac:dyDescent="0.3">
      <c r="A48" s="42" t="s">
        <v>103</v>
      </c>
      <c r="B48" s="43">
        <f t="shared" ref="B48" si="24">0.02*B45</f>
        <v>3320</v>
      </c>
      <c r="D48" s="36" t="s">
        <v>95</v>
      </c>
      <c r="E48" s="36"/>
      <c r="F48" s="39"/>
      <c r="G48" s="39"/>
      <c r="H48" s="36"/>
      <c r="I48" s="36"/>
      <c r="J48" s="36"/>
      <c r="N48" s="33"/>
      <c r="O48" s="35"/>
      <c r="P48" s="54" t="s">
        <v>108</v>
      </c>
      <c r="Q48" s="55" t="e">
        <f>INDEX($F$26:$J$47,R48,$Q$26)</f>
        <v>#VALUE!</v>
      </c>
      <c r="R48">
        <v>19</v>
      </c>
      <c r="T48" s="66"/>
      <c r="U48" s="57"/>
    </row>
    <row r="49" spans="1:21" x14ac:dyDescent="0.3">
      <c r="A49" s="42" t="s">
        <v>104</v>
      </c>
      <c r="B49" s="43">
        <f>0.01*B45</f>
        <v>1660</v>
      </c>
      <c r="D49" s="37"/>
      <c r="E49" s="36"/>
      <c r="H49" s="37"/>
      <c r="I49" s="37"/>
      <c r="J49" s="37"/>
      <c r="N49" s="33" t="s">
        <v>87</v>
      </c>
      <c r="O49" s="35">
        <v>1458</v>
      </c>
      <c r="T49" s="42"/>
      <c r="U49" s="57"/>
    </row>
    <row r="50" spans="1:21" x14ac:dyDescent="0.3">
      <c r="A50" s="45" t="s">
        <v>105</v>
      </c>
      <c r="B50" s="46">
        <f>B45*0.0584</f>
        <v>9694.4</v>
      </c>
      <c r="D50" s="36"/>
      <c r="E50" s="36"/>
      <c r="F50" s="36">
        <f>IF('Chemical content'!$R$4=F5,1,0)*IF('Chemical content'!I4=2,0,1)</f>
        <v>0</v>
      </c>
      <c r="G50" s="36">
        <f>IF('Chemical content'!$R$4=G5,1,0)*IF(OR('Chemical content'!I4=5,'Chemical content'!I4=6),1,0)</f>
        <v>0</v>
      </c>
      <c r="H50" s="36">
        <f>IF('Chemical content'!$R$4=H5,1,0)*IF('Chemical content'!I4=6,1,0)</f>
        <v>0</v>
      </c>
      <c r="I50" s="36">
        <f>IF('Chemical content'!$R$4=I5,1,0)*IF('Chemical content'!I4=6,1,0)</f>
        <v>0</v>
      </c>
      <c r="J50" s="36">
        <f>IF('Chemical content'!$R$4=J5,1,0)*IF('Chemical content'!I4=6,1,0)</f>
        <v>0</v>
      </c>
      <c r="T50" s="42"/>
      <c r="U50" s="57"/>
    </row>
    <row r="51" spans="1:21" x14ac:dyDescent="0.3">
      <c r="A51" s="47" t="s">
        <v>106</v>
      </c>
      <c r="B51" s="50">
        <f t="shared" ref="B51" si="25">SUM(B47:B50)</f>
        <v>28296.584867519552</v>
      </c>
      <c r="D51" s="36" t="s">
        <v>42</v>
      </c>
      <c r="E51" s="36"/>
      <c r="F51" s="56">
        <f>F47*F50</f>
        <v>0</v>
      </c>
      <c r="G51" s="56">
        <f t="shared" ref="G51:J51" si="26">G47*G50</f>
        <v>0</v>
      </c>
      <c r="H51" s="56">
        <f t="shared" si="26"/>
        <v>0</v>
      </c>
      <c r="I51" s="56">
        <f t="shared" si="26"/>
        <v>0</v>
      </c>
      <c r="J51" s="56">
        <f t="shared" si="26"/>
        <v>0</v>
      </c>
      <c r="T51" s="45"/>
      <c r="U51" s="65"/>
    </row>
    <row r="52" spans="1:21" x14ac:dyDescent="0.3">
      <c r="A52" s="42"/>
      <c r="B52" s="44"/>
      <c r="D52" s="36" t="s">
        <v>42</v>
      </c>
      <c r="E52" s="36"/>
      <c r="F52" s="75">
        <f>SUM(F51:J51)</f>
        <v>0</v>
      </c>
      <c r="G52" s="76"/>
      <c r="H52" s="76"/>
      <c r="I52" s="76"/>
      <c r="J52" s="77"/>
      <c r="T52" s="47"/>
      <c r="U52" s="57"/>
    </row>
    <row r="53" spans="1:21" x14ac:dyDescent="0.3">
      <c r="A53" s="51" t="s">
        <v>107</v>
      </c>
      <c r="B53" s="50" t="e">
        <f t="shared" ref="B53" si="27">IF((B43-B51)*0.2&lt;0,0,(B43-B51)*0.2)</f>
        <v>#REF!</v>
      </c>
      <c r="T53" s="42"/>
      <c r="U53" s="65"/>
    </row>
    <row r="54" spans="1:21" x14ac:dyDescent="0.3">
      <c r="A54" s="52"/>
      <c r="B54" s="53"/>
      <c r="D54" t="s">
        <v>30</v>
      </c>
      <c r="T54" s="51"/>
      <c r="U54" s="57"/>
    </row>
    <row r="55" spans="1:21" x14ac:dyDescent="0.3">
      <c r="A55" s="54" t="s">
        <v>108</v>
      </c>
      <c r="B55" s="48" t="e">
        <f>(B43-B51)-B53</f>
        <v>#REF!</v>
      </c>
      <c r="D55">
        <v>1</v>
      </c>
      <c r="E55">
        <v>2</v>
      </c>
      <c r="F55">
        <v>3</v>
      </c>
      <c r="G55">
        <v>4</v>
      </c>
      <c r="H55">
        <v>5</v>
      </c>
      <c r="I55">
        <v>6</v>
      </c>
      <c r="J55">
        <v>7</v>
      </c>
      <c r="T55" s="67"/>
      <c r="U55" s="65"/>
    </row>
    <row r="56" spans="1:21" x14ac:dyDescent="0.3">
      <c r="C56">
        <v>1</v>
      </c>
      <c r="D56" t="s">
        <v>5</v>
      </c>
      <c r="T56" s="54"/>
      <c r="U56" s="62"/>
    </row>
    <row r="57" spans="1:21" x14ac:dyDescent="0.3">
      <c r="C57">
        <v>2</v>
      </c>
      <c r="D57" t="s">
        <v>6</v>
      </c>
      <c r="T57" s="68"/>
      <c r="U57" s="68"/>
    </row>
    <row r="58" spans="1:21" x14ac:dyDescent="0.3">
      <c r="C58">
        <v>3</v>
      </c>
      <c r="D58" t="s">
        <v>7</v>
      </c>
      <c r="F58">
        <v>149000</v>
      </c>
    </row>
    <row r="59" spans="1:21" x14ac:dyDescent="0.3">
      <c r="C59">
        <v>4</v>
      </c>
      <c r="D59" t="s">
        <v>8</v>
      </c>
      <c r="F59">
        <v>143000</v>
      </c>
    </row>
    <row r="60" spans="1:21" x14ac:dyDescent="0.3">
      <c r="C60">
        <v>5</v>
      </c>
      <c r="D60" t="s">
        <v>9</v>
      </c>
      <c r="F60">
        <v>166000</v>
      </c>
      <c r="G60">
        <v>340000</v>
      </c>
      <c r="N60">
        <f>59195/176278</f>
        <v>0.33580480831414017</v>
      </c>
    </row>
    <row r="61" spans="1:21" x14ac:dyDescent="0.3">
      <c r="C61">
        <v>6</v>
      </c>
      <c r="D61" t="s">
        <v>74</v>
      </c>
      <c r="F61">
        <f>166000</f>
        <v>166000</v>
      </c>
      <c r="G61">
        <v>340000</v>
      </c>
      <c r="H61">
        <v>1300000</v>
      </c>
      <c r="I61">
        <v>2100000</v>
      </c>
      <c r="J61">
        <v>1700000</v>
      </c>
    </row>
    <row r="63" spans="1:21" x14ac:dyDescent="0.3">
      <c r="D63" t="s">
        <v>92</v>
      </c>
      <c r="E63" s="74">
        <f>INDEX(D56:J61,'Chemical content'!I4,'Chemical content'!R4+1)</f>
        <v>0</v>
      </c>
      <c r="F63" s="74"/>
      <c r="G63" s="74"/>
      <c r="H63" s="74"/>
      <c r="I63" s="74"/>
      <c r="J63" s="74"/>
    </row>
  </sheetData>
  <mergeCells count="2">
    <mergeCell ref="E63:J63"/>
    <mergeCell ref="F52:J5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D5:G15"/>
  <sheetViews>
    <sheetView topLeftCell="A4" zoomScale="55" zoomScaleNormal="55" workbookViewId="0">
      <selection activeCell="H8" sqref="H8"/>
    </sheetView>
  </sheetViews>
  <sheetFormatPr defaultRowHeight="14.4" x14ac:dyDescent="0.3"/>
  <cols>
    <col min="1" max="4" width="28.5546875" customWidth="1"/>
    <col min="5" max="7" width="60.33203125" customWidth="1"/>
    <col min="8" max="11" width="36.44140625" customWidth="1"/>
  </cols>
  <sheetData>
    <row r="5" spans="4:7" x14ac:dyDescent="0.3">
      <c r="E5" t="s">
        <v>63</v>
      </c>
      <c r="F5" t="s">
        <v>64</v>
      </c>
      <c r="G5" t="s">
        <v>65</v>
      </c>
    </row>
    <row r="6" spans="4:7" ht="188.25" customHeight="1" x14ac:dyDescent="0.3">
      <c r="D6">
        <v>1</v>
      </c>
    </row>
    <row r="7" spans="4:7" ht="188.25" customHeight="1" x14ac:dyDescent="0.3">
      <c r="D7">
        <v>2</v>
      </c>
    </row>
    <row r="8" spans="4:7" ht="188.25" customHeight="1" x14ac:dyDescent="0.3">
      <c r="D8">
        <v>3</v>
      </c>
    </row>
    <row r="9" spans="4:7" ht="188.25" customHeight="1" x14ac:dyDescent="0.3">
      <c r="D9">
        <v>4</v>
      </c>
    </row>
    <row r="10" spans="4:7" ht="188.25" customHeight="1" x14ac:dyDescent="0.3">
      <c r="D10">
        <v>5</v>
      </c>
    </row>
    <row r="11" spans="4:7" ht="188.25" customHeight="1" x14ac:dyDescent="0.3">
      <c r="D11">
        <v>6</v>
      </c>
    </row>
    <row r="12" spans="4:7" ht="119.25" customHeight="1" x14ac:dyDescent="0.3">
      <c r="E12">
        <f>INDEX($E$6:$G$11,$E$13,$E$14)</f>
        <v>0</v>
      </c>
      <c r="F12">
        <f>INDEX($E$6:$G$11,$F$13,$F$14)</f>
        <v>0</v>
      </c>
      <c r="G12">
        <f>INDEX($E$6:$G$11,$G$13,$G$14)</f>
        <v>0</v>
      </c>
    </row>
    <row r="13" spans="4:7" x14ac:dyDescent="0.3">
      <c r="E13">
        <f>'Chemical content'!I4</f>
        <v>1</v>
      </c>
      <c r="F13">
        <f>IF('Chemical content'!L4=2,E13,1)</f>
        <v>1</v>
      </c>
      <c r="G13">
        <f>IF('Chemical content'!R4&gt;1,E13,1)</f>
        <v>1</v>
      </c>
    </row>
    <row r="14" spans="4:7" x14ac:dyDescent="0.3">
      <c r="E14">
        <v>1</v>
      </c>
      <c r="F14">
        <v>2</v>
      </c>
      <c r="G14">
        <v>3</v>
      </c>
    </row>
    <row r="15" spans="4:7" ht="188.25" customHeight="1" x14ac:dyDescent="0.3"/>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Front</vt:lpstr>
      <vt:lpstr>Chemical content</vt:lpstr>
      <vt:lpstr>Handling</vt:lpstr>
      <vt:lpstr>landings.uuc.mcrs</vt:lpstr>
      <vt:lpstr>Processing</vt:lpstr>
      <vt:lpstr>pic</vt:lpstr>
      <vt:lpstr>'Chemical content'!_1tuee74</vt:lpstr>
      <vt:lpstr>'Chemical content'!_2fk6b3p</vt:lpstr>
      <vt:lpstr>'Chemical content'!_3ep43zb</vt:lpstr>
      <vt:lpstr>'Chemical content'!_40ew0vw</vt:lpstr>
      <vt:lpstr>'Chemical content'!_4du1wux</vt:lpstr>
      <vt:lpstr>'Chemical content'!_upglbi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Marvin Ingi Einarsson</dc:creator>
  <cp:lastModifiedBy>Sigurður Örn Ragnarsson</cp:lastModifiedBy>
  <dcterms:created xsi:type="dcterms:W3CDTF">2017-04-21T09:37:22Z</dcterms:created>
  <dcterms:modified xsi:type="dcterms:W3CDTF">2019-02-25T13:12:13Z</dcterms:modified>
</cp:coreProperties>
</file>